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chool Growth &amp; Development\Active Projects or Drafts\Nevada\Pinecrest Academy of Nevada (PAN)\Charter Amendments\Virtual Increase - 2026\Drafts\"/>
    </mc:Choice>
  </mc:AlternateContent>
  <xr:revisionPtr revIDLastSave="0" documentId="13_ncr:1_{65402EA8-BC3C-4C1B-9396-8136827CA279}" xr6:coauthVersionLast="47" xr6:coauthVersionMax="47" xr10:uidLastSave="{00000000-0000-0000-0000-000000000000}"/>
  <bookViews>
    <workbookView xWindow="-180" yWindow="-180" windowWidth="29160" windowHeight="15840" activeTab="6" xr2:uid="{AE16A7CE-A7A0-4A38-AC90-B2F8D64556C1}"/>
  </bookViews>
  <sheets>
    <sheet name="Forecast" sheetId="1" r:id="rId1"/>
    <sheet name="FY26" sheetId="2" r:id="rId2"/>
    <sheet name="FY27" sheetId="14" r:id="rId3"/>
    <sheet name="FY28" sheetId="15" r:id="rId4"/>
    <sheet name="FY29" sheetId="4" r:id="rId5"/>
    <sheet name="FY30" sheetId="5" r:id="rId6"/>
    <sheet name="Compare" sheetId="6" r:id="rId7"/>
    <sheet name="Updated Clayton" sheetId="19" r:id="rId8"/>
    <sheet name="Funding" sheetId="7" r:id="rId9"/>
    <sheet name="Allocation" sheetId="12" r:id="rId10"/>
    <sheet name="FFE" sheetId="16" r:id="rId11"/>
    <sheet name="Ins" sheetId="3" r:id="rId12"/>
    <sheet name="Bond Pymt" sheetId="8" r:id="rId13"/>
    <sheet name="MADS" sheetId="18" r:id="rId14"/>
    <sheet name="Sloan Rent" sheetId="9" r:id="rId15"/>
    <sheet name="Springs Rent" sheetId="10" r:id="rId16"/>
    <sheet name="Clayton Info" sheetId="11" state="hidden" r:id="rId17"/>
    <sheet name="Sheet1" sheetId="13" r:id="rId18"/>
  </sheets>
  <externalReferences>
    <externalReference r:id="rId19"/>
  </externalReferences>
  <definedNames>
    <definedName name="_xlnm.Print_Area" localSheetId="6">Compare!$A$1:$BB$219</definedName>
    <definedName name="_xlnm.Print_Area" localSheetId="1">'FY26'!$A$1:$BV$246</definedName>
    <definedName name="_xlnm.Print_Titles" localSheetId="6">Compare!$A:$A</definedName>
    <definedName name="_xlnm.Print_Titles" localSheetId="1">'FY26'!$A:$A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2" i="1" l="1"/>
  <c r="J21" i="1"/>
  <c r="J20" i="1"/>
  <c r="J19" i="1"/>
  <c r="J18" i="1"/>
  <c r="J17" i="1"/>
  <c r="J16" i="1"/>
  <c r="E47" i="19"/>
  <c r="AP128" i="5"/>
  <c r="AP128" i="4"/>
  <c r="AP128" i="15"/>
  <c r="AQ122" i="5"/>
  <c r="AQ122" i="15"/>
  <c r="AQ122" i="4"/>
  <c r="AQ122" i="14"/>
  <c r="AP121" i="5"/>
  <c r="AP121" i="4"/>
  <c r="AP121" i="15"/>
  <c r="AP121" i="14"/>
  <c r="D35" i="1"/>
  <c r="BJ77" i="2"/>
  <c r="BJ119" i="2"/>
  <c r="BJ77" i="14"/>
  <c r="BJ119" i="14"/>
  <c r="BJ119" i="15"/>
  <c r="BJ77" i="15"/>
  <c r="BJ119" i="4"/>
  <c r="BJ77" i="4"/>
  <c r="BJ119" i="5"/>
  <c r="BJ77" i="5"/>
  <c r="L12" i="11"/>
  <c r="E45" i="19"/>
  <c r="C102" i="11"/>
  <c r="C103" i="11"/>
  <c r="C52" i="19"/>
  <c r="C51" i="19"/>
  <c r="D41" i="19"/>
  <c r="D34" i="19"/>
  <c r="I32" i="19"/>
  <c r="D31" i="19"/>
  <c r="E30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E17" i="19"/>
  <c r="D17" i="19"/>
  <c r="E16" i="19"/>
  <c r="D16" i="19" s="1"/>
  <c r="E12" i="19"/>
  <c r="E13" i="19" s="1"/>
  <c r="D10" i="19"/>
  <c r="D9" i="19"/>
  <c r="D8" i="19"/>
  <c r="D7" i="19"/>
  <c r="D6" i="19"/>
  <c r="C53" i="19" l="1"/>
  <c r="E33" i="19"/>
  <c r="D33" i="19" s="1"/>
  <c r="D13" i="19"/>
  <c r="E32" i="19"/>
  <c r="E35" i="19" l="1"/>
  <c r="E37" i="19" l="1"/>
  <c r="D35" i="19"/>
  <c r="E39" i="19" l="1"/>
  <c r="D39" i="19" s="1"/>
  <c r="D37" i="19"/>
  <c r="E43" i="19"/>
  <c r="E57" i="19" l="1"/>
  <c r="D43" i="19"/>
  <c r="H32" i="19"/>
  <c r="G32" i="19"/>
  <c r="B193" i="5" l="1"/>
  <c r="B193" i="4"/>
  <c r="I5" i="12"/>
  <c r="J4" i="12"/>
  <c r="K4" i="12"/>
  <c r="L4" i="12"/>
  <c r="M4" i="12"/>
  <c r="I4" i="12"/>
  <c r="Z193" i="4"/>
  <c r="Z193" i="15"/>
  <c r="B193" i="15"/>
  <c r="Z193" i="14"/>
  <c r="B193" i="14"/>
  <c r="AH193" i="2"/>
  <c r="D6" i="1"/>
  <c r="D21" i="1" l="1"/>
  <c r="D12" i="1"/>
  <c r="S36" i="18" l="1"/>
  <c r="S37" i="18"/>
  <c r="S38" i="18"/>
  <c r="S39" i="18"/>
  <c r="S34" i="18"/>
  <c r="S35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8" i="18"/>
  <c r="A56" i="18"/>
  <c r="C54" i="18" s="1"/>
  <c r="E51" i="18"/>
  <c r="C48" i="18" s="1"/>
  <c r="J49" i="18"/>
  <c r="N41" i="18"/>
  <c r="M41" i="18"/>
  <c r="N40" i="18"/>
  <c r="M40" i="18"/>
  <c r="N39" i="18"/>
  <c r="M39" i="18"/>
  <c r="N38" i="18"/>
  <c r="M38" i="18"/>
  <c r="O38" i="18" s="1"/>
  <c r="J38" i="18"/>
  <c r="N37" i="18"/>
  <c r="M37" i="18"/>
  <c r="I37" i="18"/>
  <c r="H37" i="18"/>
  <c r="N36" i="18"/>
  <c r="M36" i="18"/>
  <c r="I36" i="18"/>
  <c r="H36" i="18"/>
  <c r="J36" i="18" s="1"/>
  <c r="C36" i="18"/>
  <c r="E36" i="18" s="1"/>
  <c r="N35" i="18"/>
  <c r="M35" i="18"/>
  <c r="I35" i="18"/>
  <c r="H35" i="18"/>
  <c r="D35" i="18"/>
  <c r="C35" i="18"/>
  <c r="N34" i="18"/>
  <c r="M34" i="18"/>
  <c r="I34" i="18"/>
  <c r="H34" i="18"/>
  <c r="D34" i="18"/>
  <c r="C34" i="18"/>
  <c r="N33" i="18"/>
  <c r="M33" i="18"/>
  <c r="I33" i="18"/>
  <c r="H33" i="18"/>
  <c r="D33" i="18"/>
  <c r="C33" i="18"/>
  <c r="N32" i="18"/>
  <c r="M32" i="18"/>
  <c r="I32" i="18"/>
  <c r="H32" i="18"/>
  <c r="D32" i="18"/>
  <c r="C32" i="18"/>
  <c r="E32" i="18" s="1"/>
  <c r="N31" i="18"/>
  <c r="M31" i="18"/>
  <c r="I31" i="18"/>
  <c r="H31" i="18"/>
  <c r="J31" i="18" s="1"/>
  <c r="D31" i="18"/>
  <c r="C31" i="18"/>
  <c r="N30" i="18"/>
  <c r="M30" i="18"/>
  <c r="I30" i="18"/>
  <c r="H30" i="18"/>
  <c r="D30" i="18"/>
  <c r="C30" i="18"/>
  <c r="E30" i="18" s="1"/>
  <c r="N29" i="18"/>
  <c r="M29" i="18"/>
  <c r="I29" i="18"/>
  <c r="H29" i="18"/>
  <c r="J29" i="18" s="1"/>
  <c r="D29" i="18"/>
  <c r="C29" i="18"/>
  <c r="N28" i="18"/>
  <c r="M28" i="18"/>
  <c r="I28" i="18"/>
  <c r="H28" i="18"/>
  <c r="D28" i="18"/>
  <c r="C28" i="18"/>
  <c r="N27" i="18"/>
  <c r="M27" i="18"/>
  <c r="I27" i="18"/>
  <c r="H27" i="18"/>
  <c r="J27" i="18" s="1"/>
  <c r="D27" i="18"/>
  <c r="C27" i="18"/>
  <c r="N26" i="18"/>
  <c r="M26" i="18"/>
  <c r="I26" i="18"/>
  <c r="H26" i="18"/>
  <c r="D26" i="18"/>
  <c r="C26" i="18"/>
  <c r="E26" i="18" s="1"/>
  <c r="N25" i="18"/>
  <c r="M25" i="18"/>
  <c r="I25" i="18"/>
  <c r="H25" i="18"/>
  <c r="J25" i="18" s="1"/>
  <c r="D25" i="18"/>
  <c r="C25" i="18"/>
  <c r="N24" i="18"/>
  <c r="M24" i="18"/>
  <c r="I24" i="18"/>
  <c r="H24" i="18"/>
  <c r="D24" i="18"/>
  <c r="C24" i="18"/>
  <c r="E24" i="18" s="1"/>
  <c r="N23" i="18"/>
  <c r="M23" i="18"/>
  <c r="I23" i="18"/>
  <c r="H23" i="18"/>
  <c r="J23" i="18" s="1"/>
  <c r="D23" i="18"/>
  <c r="C23" i="18"/>
  <c r="N22" i="18"/>
  <c r="M22" i="18"/>
  <c r="I22" i="18"/>
  <c r="H22" i="18"/>
  <c r="D22" i="18"/>
  <c r="C22" i="18"/>
  <c r="N21" i="18"/>
  <c r="M21" i="18"/>
  <c r="I21" i="18"/>
  <c r="H21" i="18"/>
  <c r="J21" i="18" s="1"/>
  <c r="D21" i="18"/>
  <c r="C21" i="18"/>
  <c r="N20" i="18"/>
  <c r="M20" i="18"/>
  <c r="I20" i="18"/>
  <c r="H20" i="18"/>
  <c r="D20" i="18"/>
  <c r="C20" i="18"/>
  <c r="E20" i="18" s="1"/>
  <c r="N19" i="18"/>
  <c r="M19" i="18"/>
  <c r="I19" i="18"/>
  <c r="H19" i="18"/>
  <c r="D19" i="18"/>
  <c r="C19" i="18"/>
  <c r="N18" i="18"/>
  <c r="M18" i="18"/>
  <c r="I18" i="18"/>
  <c r="H18" i="18"/>
  <c r="D18" i="18"/>
  <c r="C18" i="18"/>
  <c r="E18" i="18" s="1"/>
  <c r="N17" i="18"/>
  <c r="M17" i="18"/>
  <c r="I17" i="18"/>
  <c r="H17" i="18"/>
  <c r="J17" i="18" s="1"/>
  <c r="D17" i="18"/>
  <c r="C17" i="18"/>
  <c r="N16" i="18"/>
  <c r="M16" i="18"/>
  <c r="I16" i="18"/>
  <c r="H16" i="18"/>
  <c r="D16" i="18"/>
  <c r="C16" i="18"/>
  <c r="N15" i="18"/>
  <c r="M15" i="18"/>
  <c r="I15" i="18"/>
  <c r="H15" i="18"/>
  <c r="J15" i="18" s="1"/>
  <c r="D15" i="18"/>
  <c r="C15" i="18"/>
  <c r="N14" i="18"/>
  <c r="M14" i="18"/>
  <c r="I14" i="18"/>
  <c r="H14" i="18"/>
  <c r="D14" i="18"/>
  <c r="C14" i="18"/>
  <c r="E14" i="18" s="1"/>
  <c r="N13" i="18"/>
  <c r="M13" i="18"/>
  <c r="I13" i="18"/>
  <c r="H13" i="18"/>
  <c r="J13" i="18" s="1"/>
  <c r="D13" i="18"/>
  <c r="C13" i="18"/>
  <c r="N12" i="18"/>
  <c r="M12" i="18"/>
  <c r="I12" i="18"/>
  <c r="H12" i="18"/>
  <c r="D12" i="18"/>
  <c r="C12" i="18"/>
  <c r="E12" i="18" s="1"/>
  <c r="N11" i="18"/>
  <c r="M11" i="18"/>
  <c r="O11" i="18" s="1"/>
  <c r="I11" i="18"/>
  <c r="H11" i="18"/>
  <c r="J11" i="18" s="1"/>
  <c r="D11" i="18"/>
  <c r="C11" i="18"/>
  <c r="E11" i="18" s="1"/>
  <c r="N10" i="18"/>
  <c r="O10" i="18" s="1"/>
  <c r="I10" i="18"/>
  <c r="H10" i="18"/>
  <c r="J10" i="18" s="1"/>
  <c r="D10" i="18"/>
  <c r="C10" i="18"/>
  <c r="N9" i="18"/>
  <c r="I9" i="18"/>
  <c r="H9" i="18"/>
  <c r="J9" i="18" s="1"/>
  <c r="D9" i="18"/>
  <c r="C9" i="18"/>
  <c r="E9" i="18" s="1"/>
  <c r="N8" i="18"/>
  <c r="I8" i="18"/>
  <c r="H8" i="18"/>
  <c r="D8" i="18"/>
  <c r="C8" i="18"/>
  <c r="J7" i="18"/>
  <c r="D7" i="18"/>
  <c r="C7" i="18"/>
  <c r="E7" i="18" s="1"/>
  <c r="D6" i="18"/>
  <c r="C6" i="18"/>
  <c r="BF185" i="5"/>
  <c r="BF185" i="4"/>
  <c r="BF185" i="15"/>
  <c r="BF185" i="14"/>
  <c r="BF185" i="2"/>
  <c r="E30" i="9"/>
  <c r="J12" i="18" l="1"/>
  <c r="J14" i="18"/>
  <c r="J16" i="18"/>
  <c r="J18" i="18"/>
  <c r="J20" i="18"/>
  <c r="J24" i="18"/>
  <c r="J26" i="18"/>
  <c r="J28" i="18"/>
  <c r="J30" i="18"/>
  <c r="J32" i="18"/>
  <c r="J34" i="18"/>
  <c r="O40" i="18"/>
  <c r="E34" i="18"/>
  <c r="E15" i="18"/>
  <c r="E17" i="18"/>
  <c r="E19" i="18"/>
  <c r="E21" i="18"/>
  <c r="E23" i="18"/>
  <c r="E25" i="18"/>
  <c r="E27" i="18"/>
  <c r="E29" i="18"/>
  <c r="E33" i="18"/>
  <c r="E35" i="18"/>
  <c r="J33" i="18"/>
  <c r="J35" i="18"/>
  <c r="I44" i="18"/>
  <c r="E16" i="18"/>
  <c r="C49" i="18"/>
  <c r="E22" i="18"/>
  <c r="E8" i="18"/>
  <c r="E10" i="18"/>
  <c r="J19" i="18"/>
  <c r="J22" i="18"/>
  <c r="E28" i="18"/>
  <c r="E31" i="18"/>
  <c r="J37" i="18"/>
  <c r="C50" i="18"/>
  <c r="O36" i="18"/>
  <c r="M44" i="18"/>
  <c r="N44" i="18"/>
  <c r="O9" i="18"/>
  <c r="J8" i="18"/>
  <c r="D54" i="18"/>
  <c r="C44" i="18"/>
  <c r="O8" i="18"/>
  <c r="E54" i="18"/>
  <c r="O41" i="18"/>
  <c r="D44" i="18"/>
  <c r="E13" i="18"/>
  <c r="C53" i="18"/>
  <c r="E53" i="18" s="1"/>
  <c r="E6" i="18"/>
  <c r="O39" i="18"/>
  <c r="D53" i="18"/>
  <c r="O37" i="18"/>
  <c r="H44" i="18"/>
  <c r="C55" i="18"/>
  <c r="E55" i="18" s="1"/>
  <c r="D55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12" i="18"/>
  <c r="D39" i="1"/>
  <c r="H29" i="1"/>
  <c r="G29" i="1"/>
  <c r="F29" i="1"/>
  <c r="E29" i="1"/>
  <c r="D29" i="1"/>
  <c r="H28" i="1"/>
  <c r="G28" i="1"/>
  <c r="F28" i="1"/>
  <c r="E28" i="1"/>
  <c r="D28" i="1"/>
  <c r="E27" i="1"/>
  <c r="F27" i="1"/>
  <c r="G27" i="1"/>
  <c r="H27" i="1"/>
  <c r="D27" i="1"/>
  <c r="D25" i="1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8" i="8"/>
  <c r="E21" i="1"/>
  <c r="F21" i="1"/>
  <c r="G21" i="1"/>
  <c r="H21" i="1"/>
  <c r="D19" i="1"/>
  <c r="D18" i="1"/>
  <c r="D10" i="1"/>
  <c r="D5" i="1"/>
  <c r="AH193" i="5"/>
  <c r="AH193" i="4"/>
  <c r="AH193" i="14"/>
  <c r="J193" i="4"/>
  <c r="B20" i="12"/>
  <c r="B19" i="12"/>
  <c r="B18" i="12"/>
  <c r="B17" i="12"/>
  <c r="B16" i="12"/>
  <c r="Z183" i="5"/>
  <c r="Z193" i="5"/>
  <c r="AX21" i="6"/>
  <c r="AY21" i="6"/>
  <c r="AZ21" i="6"/>
  <c r="BA21" i="6"/>
  <c r="BB21" i="6"/>
  <c r="AX22" i="6"/>
  <c r="AY22" i="6"/>
  <c r="AZ22" i="6"/>
  <c r="BA22" i="6"/>
  <c r="BB22" i="6"/>
  <c r="AX23" i="6"/>
  <c r="AY23" i="6"/>
  <c r="AZ23" i="6"/>
  <c r="BA23" i="6"/>
  <c r="BB23" i="6"/>
  <c r="AX24" i="6"/>
  <c r="AY24" i="6"/>
  <c r="AX25" i="6"/>
  <c r="AY25" i="6"/>
  <c r="AZ25" i="6"/>
  <c r="BA25" i="6"/>
  <c r="BB25" i="6"/>
  <c r="AX26" i="6"/>
  <c r="AY26" i="6"/>
  <c r="AZ26" i="6"/>
  <c r="BA26" i="6"/>
  <c r="BB26" i="6"/>
  <c r="AX27" i="6"/>
  <c r="AY27" i="6"/>
  <c r="AZ27" i="6"/>
  <c r="BA27" i="6"/>
  <c r="BB27" i="6"/>
  <c r="AX28" i="6"/>
  <c r="AY28" i="6"/>
  <c r="AZ28" i="6"/>
  <c r="BA28" i="6"/>
  <c r="BB28" i="6"/>
  <c r="AX29" i="6"/>
  <c r="AY29" i="6"/>
  <c r="AZ29" i="6"/>
  <c r="BA29" i="6"/>
  <c r="BB29" i="6"/>
  <c r="AX30" i="6"/>
  <c r="AY30" i="6"/>
  <c r="AZ30" i="6"/>
  <c r="BA30" i="6"/>
  <c r="BB30" i="6"/>
  <c r="AX31" i="6"/>
  <c r="AY31" i="6"/>
  <c r="AZ31" i="6"/>
  <c r="BA31" i="6"/>
  <c r="BB31" i="6"/>
  <c r="AX32" i="6"/>
  <c r="AY32" i="6"/>
  <c r="AZ32" i="6"/>
  <c r="BA32" i="6"/>
  <c r="BB32" i="6"/>
  <c r="AX33" i="6"/>
  <c r="AY33" i="6"/>
  <c r="AZ33" i="6"/>
  <c r="BA33" i="6"/>
  <c r="BB33" i="6"/>
  <c r="AX34" i="6"/>
  <c r="AY34" i="6"/>
  <c r="AZ34" i="6"/>
  <c r="BA34" i="6"/>
  <c r="BB34" i="6"/>
  <c r="AX35" i="6"/>
  <c r="AY35" i="6"/>
  <c r="AZ35" i="6"/>
  <c r="BA35" i="6"/>
  <c r="BB35" i="6"/>
  <c r="AX36" i="6"/>
  <c r="AY36" i="6"/>
  <c r="AZ36" i="6"/>
  <c r="BA36" i="6"/>
  <c r="BB36" i="6"/>
  <c r="AX37" i="6"/>
  <c r="AY37" i="6"/>
  <c r="AZ37" i="6"/>
  <c r="BA37" i="6"/>
  <c r="BB37" i="6"/>
  <c r="AX38" i="6"/>
  <c r="AY38" i="6"/>
  <c r="AZ38" i="6"/>
  <c r="BA38" i="6"/>
  <c r="BB38" i="6"/>
  <c r="AX39" i="6"/>
  <c r="AY39" i="6"/>
  <c r="AZ39" i="6"/>
  <c r="BA39" i="6"/>
  <c r="BB39" i="6"/>
  <c r="AX40" i="6"/>
  <c r="AY40" i="6"/>
  <c r="AZ40" i="6"/>
  <c r="BA40" i="6"/>
  <c r="BB40" i="6"/>
  <c r="AX41" i="6"/>
  <c r="AY41" i="6"/>
  <c r="AZ41" i="6"/>
  <c r="BA41" i="6"/>
  <c r="BB41" i="6"/>
  <c r="AX42" i="6"/>
  <c r="AY42" i="6"/>
  <c r="AZ42" i="6"/>
  <c r="BA42" i="6"/>
  <c r="BB42" i="6"/>
  <c r="AX44" i="6"/>
  <c r="AY44" i="6"/>
  <c r="AZ44" i="6"/>
  <c r="BA44" i="6"/>
  <c r="BB44" i="6"/>
  <c r="AX45" i="6"/>
  <c r="AY45" i="6"/>
  <c r="AZ45" i="6"/>
  <c r="BA45" i="6"/>
  <c r="BB45" i="6"/>
  <c r="AX46" i="6"/>
  <c r="AY46" i="6"/>
  <c r="AZ46" i="6"/>
  <c r="BA46" i="6"/>
  <c r="BB46" i="6"/>
  <c r="AX47" i="6"/>
  <c r="AY47" i="6"/>
  <c r="AZ47" i="6"/>
  <c r="BA47" i="6"/>
  <c r="BB47" i="6"/>
  <c r="AX48" i="6"/>
  <c r="AY48" i="6"/>
  <c r="AZ48" i="6"/>
  <c r="BA48" i="6"/>
  <c r="BB48" i="6"/>
  <c r="AX49" i="6"/>
  <c r="AY49" i="6"/>
  <c r="AZ49" i="6"/>
  <c r="BA49" i="6"/>
  <c r="BB49" i="6"/>
  <c r="AX50" i="6"/>
  <c r="AX51" i="6"/>
  <c r="AY51" i="6"/>
  <c r="AZ51" i="6"/>
  <c r="BA51" i="6"/>
  <c r="BB51" i="6"/>
  <c r="AX52" i="6"/>
  <c r="AY52" i="6"/>
  <c r="AZ52" i="6"/>
  <c r="BA52" i="6"/>
  <c r="BB52" i="6"/>
  <c r="AX53" i="6"/>
  <c r="AY53" i="6"/>
  <c r="AZ53" i="6"/>
  <c r="BA53" i="6"/>
  <c r="BB53" i="6"/>
  <c r="AX54" i="6"/>
  <c r="AY54" i="6"/>
  <c r="AZ54" i="6"/>
  <c r="BA54" i="6"/>
  <c r="BB54" i="6"/>
  <c r="AX55" i="6"/>
  <c r="AY55" i="6"/>
  <c r="AZ55" i="6"/>
  <c r="BA55" i="6"/>
  <c r="BB55" i="6"/>
  <c r="AX56" i="6"/>
  <c r="AY56" i="6"/>
  <c r="AZ56" i="6"/>
  <c r="BA56" i="6"/>
  <c r="BB56" i="6"/>
  <c r="AX57" i="6"/>
  <c r="AY57" i="6"/>
  <c r="AZ57" i="6"/>
  <c r="BA57" i="6"/>
  <c r="BB57" i="6"/>
  <c r="AX58" i="6"/>
  <c r="AY58" i="6"/>
  <c r="AZ58" i="6"/>
  <c r="BA58" i="6"/>
  <c r="BB58" i="6"/>
  <c r="AX59" i="6"/>
  <c r="AY59" i="6"/>
  <c r="AZ59" i="6"/>
  <c r="BA59" i="6"/>
  <c r="BB59" i="6"/>
  <c r="AX60" i="6"/>
  <c r="AY60" i="6"/>
  <c r="AZ60" i="6"/>
  <c r="BA60" i="6"/>
  <c r="BB60" i="6"/>
  <c r="AX62" i="6"/>
  <c r="AY62" i="6"/>
  <c r="AZ62" i="6"/>
  <c r="BA62" i="6"/>
  <c r="BB62" i="6"/>
  <c r="AX63" i="6"/>
  <c r="AY63" i="6"/>
  <c r="AZ63" i="6"/>
  <c r="BA63" i="6"/>
  <c r="BB63" i="6"/>
  <c r="AX66" i="6"/>
  <c r="AY66" i="6"/>
  <c r="AZ66" i="6"/>
  <c r="BA66" i="6"/>
  <c r="BB66" i="6"/>
  <c r="AX67" i="6"/>
  <c r="AY67" i="6"/>
  <c r="AZ67" i="6"/>
  <c r="BA67" i="6"/>
  <c r="BB67" i="6"/>
  <c r="AX68" i="6"/>
  <c r="AX69" i="6"/>
  <c r="AY69" i="6"/>
  <c r="AZ69" i="6"/>
  <c r="BA69" i="6"/>
  <c r="BB69" i="6"/>
  <c r="AX70" i="6"/>
  <c r="AY70" i="6"/>
  <c r="AZ70" i="6"/>
  <c r="BA70" i="6"/>
  <c r="BB70" i="6"/>
  <c r="AX71" i="6"/>
  <c r="AY71" i="6"/>
  <c r="AX72" i="6"/>
  <c r="AY72" i="6"/>
  <c r="AX73" i="6"/>
  <c r="AX74" i="6"/>
  <c r="AY74" i="6"/>
  <c r="AZ74" i="6"/>
  <c r="BA74" i="6"/>
  <c r="BB74" i="6"/>
  <c r="AX75" i="6"/>
  <c r="AY75" i="6"/>
  <c r="AZ75" i="6"/>
  <c r="BA75" i="6"/>
  <c r="BB75" i="6"/>
  <c r="AY76" i="6"/>
  <c r="AZ76" i="6"/>
  <c r="BA76" i="6"/>
  <c r="BB76" i="6"/>
  <c r="AX78" i="6"/>
  <c r="AX79" i="6"/>
  <c r="AY79" i="6"/>
  <c r="AZ79" i="6"/>
  <c r="BA79" i="6"/>
  <c r="BB79" i="6"/>
  <c r="AX80" i="6"/>
  <c r="AY80" i="6"/>
  <c r="AZ80" i="6"/>
  <c r="BA80" i="6"/>
  <c r="BB80" i="6"/>
  <c r="AX81" i="6"/>
  <c r="AY81" i="6"/>
  <c r="AZ81" i="6"/>
  <c r="BA81" i="6"/>
  <c r="BB81" i="6"/>
  <c r="AX83" i="6"/>
  <c r="AY83" i="6"/>
  <c r="AZ83" i="6"/>
  <c r="BA83" i="6"/>
  <c r="BB83" i="6"/>
  <c r="AX84" i="6"/>
  <c r="AY84" i="6"/>
  <c r="AZ84" i="6"/>
  <c r="BA84" i="6"/>
  <c r="BB84" i="6"/>
  <c r="AX85" i="6"/>
  <c r="AY85" i="6"/>
  <c r="AZ85" i="6"/>
  <c r="BA85" i="6"/>
  <c r="BB85" i="6"/>
  <c r="AX86" i="6"/>
  <c r="AY86" i="6"/>
  <c r="AZ86" i="6"/>
  <c r="BA86" i="6"/>
  <c r="BB86" i="6"/>
  <c r="AX87" i="6"/>
  <c r="AY87" i="6"/>
  <c r="AZ87" i="6"/>
  <c r="BA87" i="6"/>
  <c r="BB87" i="6"/>
  <c r="AX88" i="6"/>
  <c r="AY88" i="6"/>
  <c r="AZ88" i="6"/>
  <c r="BA88" i="6"/>
  <c r="BB88" i="6"/>
  <c r="AX89" i="6"/>
  <c r="AY89" i="6"/>
  <c r="AZ89" i="6"/>
  <c r="BA89" i="6"/>
  <c r="BB89" i="6"/>
  <c r="AX90" i="6"/>
  <c r="AY90" i="6"/>
  <c r="AZ90" i="6"/>
  <c r="BA90" i="6"/>
  <c r="BB90" i="6"/>
  <c r="AX91" i="6"/>
  <c r="AY91" i="6"/>
  <c r="AZ91" i="6"/>
  <c r="BA91" i="6"/>
  <c r="BB91" i="6"/>
  <c r="AX92" i="6"/>
  <c r="AY92" i="6"/>
  <c r="AZ92" i="6"/>
  <c r="BA92" i="6"/>
  <c r="BB92" i="6"/>
  <c r="AX93" i="6"/>
  <c r="AY93" i="6"/>
  <c r="AZ93" i="6"/>
  <c r="BA93" i="6"/>
  <c r="BB93" i="6"/>
  <c r="AX94" i="6"/>
  <c r="AY94" i="6"/>
  <c r="AZ94" i="6"/>
  <c r="BA94" i="6"/>
  <c r="BB94" i="6"/>
  <c r="AX95" i="6"/>
  <c r="AY95" i="6"/>
  <c r="AZ95" i="6"/>
  <c r="BA95" i="6"/>
  <c r="BB95" i="6"/>
  <c r="AX96" i="6"/>
  <c r="AY96" i="6"/>
  <c r="AZ96" i="6"/>
  <c r="BA96" i="6"/>
  <c r="BB96" i="6"/>
  <c r="AX97" i="6"/>
  <c r="AY97" i="6"/>
  <c r="AZ97" i="6"/>
  <c r="BA97" i="6"/>
  <c r="BB97" i="6"/>
  <c r="AX98" i="6"/>
  <c r="AY98" i="6"/>
  <c r="AZ98" i="6"/>
  <c r="BA98" i="6"/>
  <c r="BB98" i="6"/>
  <c r="AX99" i="6"/>
  <c r="AY99" i="6"/>
  <c r="AZ99" i="6"/>
  <c r="BA99" i="6"/>
  <c r="BB99" i="6"/>
  <c r="AX100" i="6"/>
  <c r="AY100" i="6"/>
  <c r="AZ100" i="6"/>
  <c r="BA100" i="6"/>
  <c r="BB100" i="6"/>
  <c r="AX101" i="6"/>
  <c r="AY101" i="6"/>
  <c r="AZ101" i="6"/>
  <c r="BA101" i="6"/>
  <c r="BB101" i="6"/>
  <c r="AX102" i="6"/>
  <c r="AY102" i="6"/>
  <c r="AZ102" i="6"/>
  <c r="BA102" i="6"/>
  <c r="BB102" i="6"/>
  <c r="AX103" i="6"/>
  <c r="AY103" i="6"/>
  <c r="AZ103" i="6"/>
  <c r="BA103" i="6"/>
  <c r="BB103" i="6"/>
  <c r="AX104" i="6"/>
  <c r="AY104" i="6"/>
  <c r="AZ104" i="6"/>
  <c r="BA104" i="6"/>
  <c r="BB104" i="6"/>
  <c r="AX105" i="6"/>
  <c r="AY105" i="6"/>
  <c r="AZ105" i="6"/>
  <c r="BA105" i="6"/>
  <c r="BB105" i="6"/>
  <c r="AX106" i="6"/>
  <c r="AY106" i="6"/>
  <c r="AZ106" i="6"/>
  <c r="BA106" i="6"/>
  <c r="BB106" i="6"/>
  <c r="AX107" i="6"/>
  <c r="AY107" i="6"/>
  <c r="AZ107" i="6"/>
  <c r="BA107" i="6"/>
  <c r="BB107" i="6"/>
  <c r="AX108" i="6"/>
  <c r="AY108" i="6"/>
  <c r="AZ108" i="6"/>
  <c r="BA108" i="6"/>
  <c r="BB108" i="6"/>
  <c r="AX109" i="6"/>
  <c r="AY109" i="6"/>
  <c r="AZ109" i="6"/>
  <c r="BA109" i="6"/>
  <c r="BB109" i="6"/>
  <c r="AX110" i="6"/>
  <c r="AY110" i="6"/>
  <c r="AZ110" i="6"/>
  <c r="BA110" i="6"/>
  <c r="BB110" i="6"/>
  <c r="AX111" i="6"/>
  <c r="AX112" i="6"/>
  <c r="AY112" i="6"/>
  <c r="AZ112" i="6"/>
  <c r="BA112" i="6"/>
  <c r="BB112" i="6"/>
  <c r="AX113" i="6"/>
  <c r="AY113" i="6"/>
  <c r="AZ113" i="6"/>
  <c r="BA113" i="6"/>
  <c r="BB113" i="6"/>
  <c r="AX114" i="6"/>
  <c r="AY114" i="6"/>
  <c r="AZ114" i="6"/>
  <c r="BA114" i="6"/>
  <c r="BB114" i="6"/>
  <c r="AX115" i="6"/>
  <c r="AY115" i="6"/>
  <c r="AZ115" i="6"/>
  <c r="BA115" i="6"/>
  <c r="BB115" i="6"/>
  <c r="AX116" i="6"/>
  <c r="AX117" i="6"/>
  <c r="AY117" i="6"/>
  <c r="AZ117" i="6"/>
  <c r="BA117" i="6"/>
  <c r="BB117" i="6"/>
  <c r="AX118" i="6"/>
  <c r="AY118" i="6"/>
  <c r="AZ118" i="6"/>
  <c r="BA118" i="6"/>
  <c r="BB118" i="6"/>
  <c r="AX120" i="6"/>
  <c r="AY120" i="6"/>
  <c r="AZ120" i="6"/>
  <c r="BA120" i="6"/>
  <c r="BB120" i="6"/>
  <c r="AX121" i="6"/>
  <c r="AX122" i="6"/>
  <c r="AX123" i="6"/>
  <c r="AX124" i="6"/>
  <c r="AY124" i="6"/>
  <c r="AZ124" i="6"/>
  <c r="BA124" i="6"/>
  <c r="BB124" i="6"/>
  <c r="AX130" i="6"/>
  <c r="AX131" i="6"/>
  <c r="AY131" i="6"/>
  <c r="AZ131" i="6"/>
  <c r="BA131" i="6"/>
  <c r="BB131" i="6"/>
  <c r="AX133" i="6"/>
  <c r="AY133" i="6"/>
  <c r="AZ133" i="6"/>
  <c r="BA133" i="6"/>
  <c r="BB133" i="6"/>
  <c r="AX134" i="6"/>
  <c r="AY134" i="6"/>
  <c r="AZ134" i="6"/>
  <c r="BA134" i="6"/>
  <c r="BB134" i="6"/>
  <c r="AX135" i="6"/>
  <c r="AY135" i="6"/>
  <c r="AZ135" i="6"/>
  <c r="BA135" i="6"/>
  <c r="BB135" i="6"/>
  <c r="AX136" i="6"/>
  <c r="AY136" i="6"/>
  <c r="AZ136" i="6"/>
  <c r="BA136" i="6"/>
  <c r="BB136" i="6"/>
  <c r="AX137" i="6"/>
  <c r="AY137" i="6"/>
  <c r="AZ137" i="6"/>
  <c r="BB137" i="6"/>
  <c r="AX138" i="6"/>
  <c r="AX139" i="6"/>
  <c r="AY139" i="6"/>
  <c r="AZ139" i="6"/>
  <c r="BA139" i="6"/>
  <c r="BB139" i="6"/>
  <c r="AX140" i="6"/>
  <c r="AY140" i="6"/>
  <c r="AZ140" i="6"/>
  <c r="BA140" i="6"/>
  <c r="BB140" i="6"/>
  <c r="AX141" i="6"/>
  <c r="AX142" i="6"/>
  <c r="AY142" i="6"/>
  <c r="AZ142" i="6"/>
  <c r="BA142" i="6"/>
  <c r="BB142" i="6"/>
  <c r="AX143" i="6"/>
  <c r="AY143" i="6"/>
  <c r="AZ143" i="6"/>
  <c r="BA143" i="6"/>
  <c r="BB143" i="6"/>
  <c r="AX144" i="6"/>
  <c r="AX145" i="6"/>
  <c r="AX146" i="6"/>
  <c r="AX147" i="6"/>
  <c r="AY147" i="6"/>
  <c r="AZ147" i="6"/>
  <c r="BA147" i="6"/>
  <c r="BB147" i="6"/>
  <c r="AX148" i="6"/>
  <c r="AX149" i="6"/>
  <c r="AX150" i="6"/>
  <c r="AY150" i="6"/>
  <c r="AZ150" i="6"/>
  <c r="BA150" i="6"/>
  <c r="BB150" i="6"/>
  <c r="AX151" i="6"/>
  <c r="AY151" i="6"/>
  <c r="AZ151" i="6"/>
  <c r="BA151" i="6"/>
  <c r="BB151" i="6"/>
  <c r="AX152" i="6"/>
  <c r="AY152" i="6"/>
  <c r="AZ152" i="6"/>
  <c r="BA152" i="6"/>
  <c r="BB152" i="6"/>
  <c r="AX153" i="6"/>
  <c r="AX154" i="6"/>
  <c r="AY154" i="6"/>
  <c r="AZ154" i="6"/>
  <c r="BA154" i="6"/>
  <c r="BB154" i="6"/>
  <c r="AX155" i="6"/>
  <c r="AX156" i="6"/>
  <c r="AX157" i="6"/>
  <c r="AX158" i="6"/>
  <c r="AY158" i="6"/>
  <c r="AZ158" i="6"/>
  <c r="BA158" i="6"/>
  <c r="BB158" i="6"/>
  <c r="AX159" i="6"/>
  <c r="AX160" i="6"/>
  <c r="AY160" i="6"/>
  <c r="AZ160" i="6"/>
  <c r="BA160" i="6"/>
  <c r="BB160" i="6"/>
  <c r="AX161" i="6"/>
  <c r="AY161" i="6"/>
  <c r="AZ161" i="6"/>
  <c r="BA161" i="6"/>
  <c r="BB161" i="6"/>
  <c r="AX162" i="6"/>
  <c r="AY162" i="6"/>
  <c r="AZ162" i="6"/>
  <c r="BA162" i="6"/>
  <c r="BB162" i="6"/>
  <c r="AX163" i="6"/>
  <c r="AX164" i="6"/>
  <c r="AX165" i="6"/>
  <c r="AY165" i="6"/>
  <c r="AZ165" i="6"/>
  <c r="BA165" i="6"/>
  <c r="BB165" i="6"/>
  <c r="AX166" i="6"/>
  <c r="AY166" i="6"/>
  <c r="AZ166" i="6"/>
  <c r="BA166" i="6"/>
  <c r="BB166" i="6"/>
  <c r="AX167" i="6"/>
  <c r="AY167" i="6"/>
  <c r="AZ167" i="6"/>
  <c r="BB167" i="6"/>
  <c r="AX168" i="6"/>
  <c r="AX169" i="6"/>
  <c r="AY169" i="6"/>
  <c r="AZ169" i="6"/>
  <c r="BA169" i="6"/>
  <c r="BB169" i="6"/>
  <c r="AX170" i="6"/>
  <c r="AX171" i="6"/>
  <c r="AX172" i="6"/>
  <c r="AY172" i="6"/>
  <c r="AZ172" i="6"/>
  <c r="BA172" i="6"/>
  <c r="BB172" i="6"/>
  <c r="AX173" i="6"/>
  <c r="AY173" i="6"/>
  <c r="AZ173" i="6"/>
  <c r="BA173" i="6"/>
  <c r="BB173" i="6"/>
  <c r="AX174" i="6"/>
  <c r="AY174" i="6"/>
  <c r="AZ174" i="6"/>
  <c r="BA174" i="6"/>
  <c r="BB174" i="6"/>
  <c r="AX175" i="6"/>
  <c r="AY175" i="6"/>
  <c r="AZ175" i="6"/>
  <c r="BA175" i="6"/>
  <c r="BB175" i="6"/>
  <c r="AX176" i="6"/>
  <c r="AY176" i="6"/>
  <c r="AZ176" i="6"/>
  <c r="BA176" i="6"/>
  <c r="BB176" i="6"/>
  <c r="AX177" i="6"/>
  <c r="AY177" i="6"/>
  <c r="AZ177" i="6"/>
  <c r="BA177" i="6"/>
  <c r="BB177" i="6"/>
  <c r="AX178" i="6"/>
  <c r="AX179" i="6"/>
  <c r="AY179" i="6"/>
  <c r="AZ179" i="6"/>
  <c r="BA179" i="6"/>
  <c r="BB179" i="6"/>
  <c r="AX180" i="6"/>
  <c r="AY180" i="6"/>
  <c r="AZ180" i="6"/>
  <c r="BA180" i="6"/>
  <c r="BB180" i="6"/>
  <c r="AX181" i="6"/>
  <c r="AY181" i="6"/>
  <c r="AZ181" i="6"/>
  <c r="BA181" i="6"/>
  <c r="BB181" i="6"/>
  <c r="AX182" i="6"/>
  <c r="AY182" i="6"/>
  <c r="AZ182" i="6"/>
  <c r="BA182" i="6"/>
  <c r="BB182" i="6"/>
  <c r="AX183" i="6"/>
  <c r="AY183" i="6"/>
  <c r="AZ183" i="6"/>
  <c r="BA183" i="6"/>
  <c r="BB183" i="6"/>
  <c r="AX184" i="6"/>
  <c r="AY184" i="6"/>
  <c r="AZ184" i="6"/>
  <c r="BA184" i="6"/>
  <c r="BB184" i="6"/>
  <c r="AX186" i="6"/>
  <c r="AY186" i="6"/>
  <c r="AZ186" i="6"/>
  <c r="BA186" i="6"/>
  <c r="BB186" i="6"/>
  <c r="AX187" i="6"/>
  <c r="AY187" i="6"/>
  <c r="AZ187" i="6"/>
  <c r="BA187" i="6"/>
  <c r="BB187" i="6"/>
  <c r="AX188" i="6"/>
  <c r="AY188" i="6"/>
  <c r="AZ188" i="6"/>
  <c r="BA188" i="6"/>
  <c r="BB188" i="6"/>
  <c r="AX189" i="6"/>
  <c r="AY189" i="6"/>
  <c r="AZ189" i="6"/>
  <c r="BA189" i="6"/>
  <c r="BB189" i="6"/>
  <c r="AX190" i="6"/>
  <c r="AY190" i="6"/>
  <c r="AZ190" i="6"/>
  <c r="BA190" i="6"/>
  <c r="BB190" i="6"/>
  <c r="AX191" i="6"/>
  <c r="AY191" i="6"/>
  <c r="AZ191" i="6"/>
  <c r="BA191" i="6"/>
  <c r="BB191" i="6"/>
  <c r="AX192" i="6"/>
  <c r="AY192" i="6"/>
  <c r="AZ192" i="6"/>
  <c r="AX195" i="6"/>
  <c r="AY195" i="6"/>
  <c r="AZ195" i="6"/>
  <c r="BA195" i="6"/>
  <c r="BB195" i="6"/>
  <c r="AX196" i="6"/>
  <c r="AY196" i="6"/>
  <c r="AZ196" i="6"/>
  <c r="BA196" i="6"/>
  <c r="BB196" i="6"/>
  <c r="AX197" i="6"/>
  <c r="AY197" i="6"/>
  <c r="AZ197" i="6"/>
  <c r="BA197" i="6"/>
  <c r="BB197" i="6"/>
  <c r="AX198" i="6"/>
  <c r="AY198" i="6"/>
  <c r="AZ198" i="6"/>
  <c r="BA198" i="6"/>
  <c r="BB198" i="6"/>
  <c r="AX199" i="6"/>
  <c r="AY199" i="6"/>
  <c r="AZ199" i="6"/>
  <c r="BA199" i="6"/>
  <c r="BB199" i="6"/>
  <c r="AX200" i="6"/>
  <c r="AY200" i="6"/>
  <c r="AZ200" i="6"/>
  <c r="BA200" i="6"/>
  <c r="BB200" i="6"/>
  <c r="AX201" i="6"/>
  <c r="AY201" i="6"/>
  <c r="AZ201" i="6"/>
  <c r="BA201" i="6"/>
  <c r="BB201" i="6"/>
  <c r="AX202" i="6"/>
  <c r="AY202" i="6"/>
  <c r="AZ202" i="6"/>
  <c r="BA202" i="6"/>
  <c r="BB202" i="6"/>
  <c r="AX203" i="6"/>
  <c r="AY203" i="6"/>
  <c r="AZ203" i="6"/>
  <c r="BA203" i="6"/>
  <c r="BB203" i="6"/>
  <c r="AX204" i="6"/>
  <c r="AY204" i="6"/>
  <c r="AZ204" i="6"/>
  <c r="BA204" i="6"/>
  <c r="BB204" i="6"/>
  <c r="AX205" i="6"/>
  <c r="AY205" i="6"/>
  <c r="AZ205" i="6"/>
  <c r="BA205" i="6"/>
  <c r="BB205" i="6"/>
  <c r="AX206" i="6"/>
  <c r="AY206" i="6"/>
  <c r="AZ206" i="6"/>
  <c r="BA206" i="6"/>
  <c r="BB206" i="6"/>
  <c r="AX207" i="6"/>
  <c r="AY207" i="6"/>
  <c r="AZ207" i="6"/>
  <c r="BA207" i="6"/>
  <c r="BB207" i="6"/>
  <c r="AX208" i="6"/>
  <c r="AY208" i="6"/>
  <c r="AZ208" i="6"/>
  <c r="BA208" i="6"/>
  <c r="BB208" i="6"/>
  <c r="AX210" i="6"/>
  <c r="AY210" i="6"/>
  <c r="AZ210" i="6"/>
  <c r="BA210" i="6"/>
  <c r="BB210" i="6"/>
  <c r="AX211" i="6"/>
  <c r="AY211" i="6"/>
  <c r="AZ211" i="6"/>
  <c r="BA211" i="6"/>
  <c r="BB211" i="6"/>
  <c r="BA212" i="6"/>
  <c r="BB212" i="6"/>
  <c r="AX215" i="6"/>
  <c r="AY215" i="6"/>
  <c r="AZ215" i="6"/>
  <c r="BA215" i="6"/>
  <c r="BB215" i="6"/>
  <c r="AX217" i="6"/>
  <c r="AY217" i="6"/>
  <c r="AZ217" i="6"/>
  <c r="BA217" i="6"/>
  <c r="BB217" i="6"/>
  <c r="AX3" i="6"/>
  <c r="AX4" i="6"/>
  <c r="AY4" i="6"/>
  <c r="AZ4" i="6"/>
  <c r="BA4" i="6"/>
  <c r="BB4" i="6"/>
  <c r="AX5" i="6"/>
  <c r="AY5" i="6"/>
  <c r="AZ5" i="6"/>
  <c r="BA5" i="6"/>
  <c r="BB5" i="6"/>
  <c r="AX6" i="6"/>
  <c r="AY6" i="6"/>
  <c r="AZ6" i="6"/>
  <c r="BA6" i="6"/>
  <c r="BB6" i="6"/>
  <c r="AX7" i="6"/>
  <c r="BB7" i="6"/>
  <c r="AX8" i="6"/>
  <c r="AY8" i="6"/>
  <c r="BA8" i="6"/>
  <c r="BB8" i="6"/>
  <c r="AX9" i="6"/>
  <c r="AY9" i="6"/>
  <c r="AZ9" i="6"/>
  <c r="BA9" i="6"/>
  <c r="BB9" i="6"/>
  <c r="AX10" i="6"/>
  <c r="BB10" i="6"/>
  <c r="AX11" i="6"/>
  <c r="AX12" i="6"/>
  <c r="BA12" i="6"/>
  <c r="AX13" i="6"/>
  <c r="AX14" i="6"/>
  <c r="AX15" i="6"/>
  <c r="AY15" i="6"/>
  <c r="BA15" i="6"/>
  <c r="BB15" i="6"/>
  <c r="AX16" i="6"/>
  <c r="AY16" i="6"/>
  <c r="BA16" i="6"/>
  <c r="AX17" i="6"/>
  <c r="BB2" i="6"/>
  <c r="BA2" i="6"/>
  <c r="AZ2" i="6"/>
  <c r="AY2" i="6"/>
  <c r="AX2" i="6"/>
  <c r="BF183" i="5"/>
  <c r="BF165" i="5"/>
  <c r="BG126" i="5"/>
  <c r="BH126" i="5"/>
  <c r="BI126" i="5"/>
  <c r="BK126" i="5"/>
  <c r="BG127" i="5"/>
  <c r="BH127" i="5"/>
  <c r="BI127" i="5"/>
  <c r="BI132" i="5" s="1"/>
  <c r="BK127" i="5"/>
  <c r="BF121" i="5"/>
  <c r="BF111" i="5"/>
  <c r="BG110" i="5"/>
  <c r="BH110" i="5"/>
  <c r="BI110" i="5"/>
  <c r="BJ110" i="5"/>
  <c r="BK110" i="5"/>
  <c r="BF110" i="5"/>
  <c r="BH102" i="5"/>
  <c r="BF99" i="5"/>
  <c r="BF98" i="5"/>
  <c r="BF94" i="5"/>
  <c r="AR22" i="6"/>
  <c r="AS22" i="6"/>
  <c r="AT22" i="6"/>
  <c r="AU22" i="6"/>
  <c r="AV22" i="6"/>
  <c r="AR23" i="6"/>
  <c r="AS23" i="6"/>
  <c r="AT23" i="6"/>
  <c r="AU23" i="6"/>
  <c r="AV23" i="6"/>
  <c r="AR24" i="6"/>
  <c r="AS24" i="6"/>
  <c r="AT24" i="6"/>
  <c r="AU24" i="6"/>
  <c r="AV24" i="6"/>
  <c r="AR25" i="6"/>
  <c r="AS25" i="6"/>
  <c r="AT25" i="6"/>
  <c r="AU25" i="6"/>
  <c r="AV25" i="6"/>
  <c r="AR26" i="6"/>
  <c r="AS26" i="6"/>
  <c r="AT26" i="6"/>
  <c r="AU26" i="6"/>
  <c r="AV26" i="6"/>
  <c r="AR27" i="6"/>
  <c r="AS27" i="6"/>
  <c r="AT27" i="6"/>
  <c r="AU27" i="6"/>
  <c r="AV27" i="6"/>
  <c r="AR28" i="6"/>
  <c r="AS28" i="6"/>
  <c r="AT28" i="6"/>
  <c r="AU28" i="6"/>
  <c r="AV28" i="6"/>
  <c r="AR29" i="6"/>
  <c r="AS29" i="6"/>
  <c r="AT29" i="6"/>
  <c r="AU29" i="6"/>
  <c r="AV29" i="6"/>
  <c r="AR30" i="6"/>
  <c r="AS30" i="6"/>
  <c r="AT30" i="6"/>
  <c r="AU30" i="6"/>
  <c r="AV30" i="6"/>
  <c r="AR31" i="6"/>
  <c r="AS31" i="6"/>
  <c r="AT31" i="6"/>
  <c r="AU31" i="6"/>
  <c r="AV31" i="6"/>
  <c r="AR32" i="6"/>
  <c r="AS32" i="6"/>
  <c r="AT32" i="6"/>
  <c r="AU32" i="6"/>
  <c r="AV32" i="6"/>
  <c r="AR33" i="6"/>
  <c r="AS33" i="6"/>
  <c r="AT33" i="6"/>
  <c r="AU33" i="6"/>
  <c r="AV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AR37" i="6"/>
  <c r="AS37" i="6"/>
  <c r="AT37" i="6"/>
  <c r="AU37" i="6"/>
  <c r="AV37" i="6"/>
  <c r="AR38" i="6"/>
  <c r="AS38" i="6"/>
  <c r="AT38" i="6"/>
  <c r="AU38" i="6"/>
  <c r="AV38" i="6"/>
  <c r="AR39" i="6"/>
  <c r="AS39" i="6"/>
  <c r="AT39" i="6"/>
  <c r="AU39" i="6"/>
  <c r="AV39" i="6"/>
  <c r="AR40" i="6"/>
  <c r="AS40" i="6"/>
  <c r="AT40" i="6"/>
  <c r="AU40" i="6"/>
  <c r="AV40" i="6"/>
  <c r="AR41" i="6"/>
  <c r="AS41" i="6"/>
  <c r="AT41" i="6"/>
  <c r="AU41" i="6"/>
  <c r="AV41" i="6"/>
  <c r="AR42" i="6"/>
  <c r="AS42" i="6"/>
  <c r="AT42" i="6"/>
  <c r="AU42" i="6"/>
  <c r="AV42" i="6"/>
  <c r="AV43" i="6"/>
  <c r="AR44" i="6"/>
  <c r="AS44" i="6"/>
  <c r="AT44" i="6"/>
  <c r="AU44" i="6"/>
  <c r="AV44" i="6"/>
  <c r="AR45" i="6"/>
  <c r="AS45" i="6"/>
  <c r="AT45" i="6"/>
  <c r="AU45" i="6"/>
  <c r="AV45" i="6"/>
  <c r="AR46" i="6"/>
  <c r="AS46" i="6"/>
  <c r="AT46" i="6"/>
  <c r="AU46" i="6"/>
  <c r="AV46" i="6"/>
  <c r="AR47" i="6"/>
  <c r="AS47" i="6"/>
  <c r="AT47" i="6"/>
  <c r="AU47" i="6"/>
  <c r="AV47" i="6"/>
  <c r="AR48" i="6"/>
  <c r="AS48" i="6"/>
  <c r="AT48" i="6"/>
  <c r="AU48" i="6"/>
  <c r="AV48" i="6"/>
  <c r="AR49" i="6"/>
  <c r="AS49" i="6"/>
  <c r="AT49" i="6"/>
  <c r="AU49" i="6"/>
  <c r="AV49" i="6"/>
  <c r="AR50" i="6"/>
  <c r="AS50" i="6"/>
  <c r="AT50" i="6"/>
  <c r="AU50" i="6"/>
  <c r="AV50" i="6"/>
  <c r="AR51" i="6"/>
  <c r="AS51" i="6"/>
  <c r="AT51" i="6"/>
  <c r="AU51" i="6"/>
  <c r="AV51" i="6"/>
  <c r="AR52" i="6"/>
  <c r="AS52" i="6"/>
  <c r="AT52" i="6"/>
  <c r="AU52" i="6"/>
  <c r="AV52" i="6"/>
  <c r="AR53" i="6"/>
  <c r="AS53" i="6"/>
  <c r="AT53" i="6"/>
  <c r="AU53" i="6"/>
  <c r="AV53" i="6"/>
  <c r="AR54" i="6"/>
  <c r="AS54" i="6"/>
  <c r="AT54" i="6"/>
  <c r="AU54" i="6"/>
  <c r="AV54" i="6"/>
  <c r="AR55" i="6"/>
  <c r="AS55" i="6"/>
  <c r="AT55" i="6"/>
  <c r="AU55" i="6"/>
  <c r="AV55" i="6"/>
  <c r="AR56" i="6"/>
  <c r="AS56" i="6"/>
  <c r="AT56" i="6"/>
  <c r="AU56" i="6"/>
  <c r="AV56" i="6"/>
  <c r="AR57" i="6"/>
  <c r="AS57" i="6"/>
  <c r="AT57" i="6"/>
  <c r="AU57" i="6"/>
  <c r="AV57" i="6"/>
  <c r="AR58" i="6"/>
  <c r="AS58" i="6"/>
  <c r="AT58" i="6"/>
  <c r="AU58" i="6"/>
  <c r="AV58" i="6"/>
  <c r="AR59" i="6"/>
  <c r="AS59" i="6"/>
  <c r="AT59" i="6"/>
  <c r="AU59" i="6"/>
  <c r="AV59" i="6"/>
  <c r="AR60" i="6"/>
  <c r="AS60" i="6"/>
  <c r="AT60" i="6"/>
  <c r="AU60" i="6"/>
  <c r="AV60" i="6"/>
  <c r="AR62" i="6"/>
  <c r="AS62" i="6"/>
  <c r="AT62" i="6"/>
  <c r="AU62" i="6"/>
  <c r="AV62" i="6"/>
  <c r="AR63" i="6"/>
  <c r="AS63" i="6"/>
  <c r="AT63" i="6"/>
  <c r="AU63" i="6"/>
  <c r="AV63" i="6"/>
  <c r="AR66" i="6"/>
  <c r="AS66" i="6"/>
  <c r="AT66" i="6"/>
  <c r="AU66" i="6"/>
  <c r="AV66" i="6"/>
  <c r="AR67" i="6"/>
  <c r="AS67" i="6"/>
  <c r="AT67" i="6"/>
  <c r="AU67" i="6"/>
  <c r="AV67" i="6"/>
  <c r="AR68" i="6"/>
  <c r="AS68" i="6"/>
  <c r="AT68" i="6"/>
  <c r="AU68" i="6"/>
  <c r="AV68" i="6"/>
  <c r="AR69" i="6"/>
  <c r="AS69" i="6"/>
  <c r="AT69" i="6"/>
  <c r="AU69" i="6"/>
  <c r="AV69" i="6"/>
  <c r="AR70" i="6"/>
  <c r="AS70" i="6"/>
  <c r="AT70" i="6"/>
  <c r="AU70" i="6"/>
  <c r="AV70" i="6"/>
  <c r="AR71" i="6"/>
  <c r="AS71" i="6"/>
  <c r="AT71" i="6"/>
  <c r="AU71" i="6"/>
  <c r="AV71" i="6"/>
  <c r="AR72" i="6"/>
  <c r="AS72" i="6"/>
  <c r="AT72" i="6"/>
  <c r="AU72" i="6"/>
  <c r="AV72" i="6"/>
  <c r="AR73" i="6"/>
  <c r="AS73" i="6"/>
  <c r="AT73" i="6"/>
  <c r="AU73" i="6"/>
  <c r="AV73" i="6"/>
  <c r="AR74" i="6"/>
  <c r="AS74" i="6"/>
  <c r="AT74" i="6"/>
  <c r="AU74" i="6"/>
  <c r="AV74" i="6"/>
  <c r="AR75" i="6"/>
  <c r="AS75" i="6"/>
  <c r="AT75" i="6"/>
  <c r="AU75" i="6"/>
  <c r="AV75" i="6"/>
  <c r="AR76" i="6"/>
  <c r="AS76" i="6"/>
  <c r="AT76" i="6"/>
  <c r="AU76" i="6"/>
  <c r="AV76" i="6"/>
  <c r="AR78" i="6"/>
  <c r="AS78" i="6"/>
  <c r="AT78" i="6"/>
  <c r="AU78" i="6"/>
  <c r="AV78" i="6"/>
  <c r="AR79" i="6"/>
  <c r="AS79" i="6"/>
  <c r="AT79" i="6"/>
  <c r="AU79" i="6"/>
  <c r="AV79" i="6"/>
  <c r="AR80" i="6"/>
  <c r="AS80" i="6"/>
  <c r="AT80" i="6"/>
  <c r="AU80" i="6"/>
  <c r="AV80" i="6"/>
  <c r="AR81" i="6"/>
  <c r="AS81" i="6"/>
  <c r="AT81" i="6"/>
  <c r="AU81" i="6"/>
  <c r="AV81" i="6"/>
  <c r="AR83" i="6"/>
  <c r="AS83" i="6"/>
  <c r="AT83" i="6"/>
  <c r="AU83" i="6"/>
  <c r="AV83" i="6"/>
  <c r="AR84" i="6"/>
  <c r="AS84" i="6"/>
  <c r="AT84" i="6"/>
  <c r="AU84" i="6"/>
  <c r="AV84" i="6"/>
  <c r="AR85" i="6"/>
  <c r="AS85" i="6"/>
  <c r="AT85" i="6"/>
  <c r="AU85" i="6"/>
  <c r="AV85" i="6"/>
  <c r="AR86" i="6"/>
  <c r="AS86" i="6"/>
  <c r="AT86" i="6"/>
  <c r="AU86" i="6"/>
  <c r="AV86" i="6"/>
  <c r="AR87" i="6"/>
  <c r="AS87" i="6"/>
  <c r="AT87" i="6"/>
  <c r="AU87" i="6"/>
  <c r="AV87" i="6"/>
  <c r="AR88" i="6"/>
  <c r="AS88" i="6"/>
  <c r="AT88" i="6"/>
  <c r="AU88" i="6"/>
  <c r="AV88" i="6"/>
  <c r="AR89" i="6"/>
  <c r="AS89" i="6"/>
  <c r="AT89" i="6"/>
  <c r="AU89" i="6"/>
  <c r="AV89" i="6"/>
  <c r="AR90" i="6"/>
  <c r="AS90" i="6"/>
  <c r="AT90" i="6"/>
  <c r="AU90" i="6"/>
  <c r="AV90" i="6"/>
  <c r="AR91" i="6"/>
  <c r="AS91" i="6"/>
  <c r="AT91" i="6"/>
  <c r="AU91" i="6"/>
  <c r="AV91" i="6"/>
  <c r="AR92" i="6"/>
  <c r="AS92" i="6"/>
  <c r="AT92" i="6"/>
  <c r="AU92" i="6"/>
  <c r="AV92" i="6"/>
  <c r="AR93" i="6"/>
  <c r="AS93" i="6"/>
  <c r="AT93" i="6"/>
  <c r="AU93" i="6"/>
  <c r="AV93" i="6"/>
  <c r="AR94" i="6"/>
  <c r="AS94" i="6"/>
  <c r="AT94" i="6"/>
  <c r="AU94" i="6"/>
  <c r="AR95" i="6"/>
  <c r="AS95" i="6"/>
  <c r="AT95" i="6"/>
  <c r="AU95" i="6"/>
  <c r="AV95" i="6"/>
  <c r="AR96" i="6"/>
  <c r="AS96" i="6"/>
  <c r="AT96" i="6"/>
  <c r="AU96" i="6"/>
  <c r="AV96" i="6"/>
  <c r="AR97" i="6"/>
  <c r="AS97" i="6"/>
  <c r="AT97" i="6"/>
  <c r="AU97" i="6"/>
  <c r="AV97" i="6"/>
  <c r="AR98" i="6"/>
  <c r="AS98" i="6"/>
  <c r="AT98" i="6"/>
  <c r="AU98" i="6"/>
  <c r="AR99" i="6"/>
  <c r="AS99" i="6"/>
  <c r="AT99" i="6"/>
  <c r="AU99" i="6"/>
  <c r="AR100" i="6"/>
  <c r="AS100" i="6"/>
  <c r="AT100" i="6"/>
  <c r="AU100" i="6"/>
  <c r="AV100" i="6"/>
  <c r="AR101" i="6"/>
  <c r="AS101" i="6"/>
  <c r="AT101" i="6"/>
  <c r="AU101" i="6"/>
  <c r="AV101" i="6"/>
  <c r="AR102" i="6"/>
  <c r="AS102" i="6"/>
  <c r="AT102" i="6"/>
  <c r="AU102" i="6"/>
  <c r="AV102" i="6"/>
  <c r="AR103" i="6"/>
  <c r="AS103" i="6"/>
  <c r="AT103" i="6"/>
  <c r="AU103" i="6"/>
  <c r="AV103" i="6"/>
  <c r="AR104" i="6"/>
  <c r="AS104" i="6"/>
  <c r="AT104" i="6"/>
  <c r="AU104" i="6"/>
  <c r="AV104" i="6"/>
  <c r="AR105" i="6"/>
  <c r="AS105" i="6"/>
  <c r="AT105" i="6"/>
  <c r="AU105" i="6"/>
  <c r="AV105" i="6"/>
  <c r="AR106" i="6"/>
  <c r="AS106" i="6"/>
  <c r="AT106" i="6"/>
  <c r="AU106" i="6"/>
  <c r="AV106" i="6"/>
  <c r="AR107" i="6"/>
  <c r="AS107" i="6"/>
  <c r="AT107" i="6"/>
  <c r="AU107" i="6"/>
  <c r="AV107" i="6"/>
  <c r="AR108" i="6"/>
  <c r="AS108" i="6"/>
  <c r="AT108" i="6"/>
  <c r="AU108" i="6"/>
  <c r="AV108" i="6"/>
  <c r="AR109" i="6"/>
  <c r="AS109" i="6"/>
  <c r="AT109" i="6"/>
  <c r="AU109" i="6"/>
  <c r="AR110" i="6"/>
  <c r="AS110" i="6"/>
  <c r="AT110" i="6"/>
  <c r="AU110" i="6"/>
  <c r="AR111" i="6"/>
  <c r="AS111" i="6"/>
  <c r="AT111" i="6"/>
  <c r="AU111" i="6"/>
  <c r="AR112" i="6"/>
  <c r="AS112" i="6"/>
  <c r="AT112" i="6"/>
  <c r="AU112" i="6"/>
  <c r="AV112" i="6"/>
  <c r="AR113" i="6"/>
  <c r="AS113" i="6"/>
  <c r="AT113" i="6"/>
  <c r="AU113" i="6"/>
  <c r="AV113" i="6"/>
  <c r="AR114" i="6"/>
  <c r="AS114" i="6"/>
  <c r="AT114" i="6"/>
  <c r="AU114" i="6"/>
  <c r="AV114" i="6"/>
  <c r="AR115" i="6"/>
  <c r="AS115" i="6"/>
  <c r="AT115" i="6"/>
  <c r="AU115" i="6"/>
  <c r="AV115" i="6"/>
  <c r="AR116" i="6"/>
  <c r="AS116" i="6"/>
  <c r="AT116" i="6"/>
  <c r="AU116" i="6"/>
  <c r="AR117" i="6"/>
  <c r="AS117" i="6"/>
  <c r="AT117" i="6"/>
  <c r="AU117" i="6"/>
  <c r="AV117" i="6"/>
  <c r="AR118" i="6"/>
  <c r="AS118" i="6"/>
  <c r="AT118" i="6"/>
  <c r="AU118" i="6"/>
  <c r="AV118" i="6"/>
  <c r="AR120" i="6"/>
  <c r="AS120" i="6"/>
  <c r="AT120" i="6"/>
  <c r="AU120" i="6"/>
  <c r="AV120" i="6"/>
  <c r="AR121" i="6"/>
  <c r="AS121" i="6"/>
  <c r="AT121" i="6"/>
  <c r="AU121" i="6"/>
  <c r="AR122" i="6"/>
  <c r="AS122" i="6"/>
  <c r="AT122" i="6"/>
  <c r="AU122" i="6"/>
  <c r="AV122" i="6"/>
  <c r="AR123" i="6"/>
  <c r="AS123" i="6"/>
  <c r="AT123" i="6"/>
  <c r="AU123" i="6"/>
  <c r="AV123" i="6"/>
  <c r="AR124" i="6"/>
  <c r="AS124" i="6"/>
  <c r="AT124" i="6"/>
  <c r="AU124" i="6"/>
  <c r="AV124" i="6"/>
  <c r="AR130" i="6"/>
  <c r="AS130" i="6"/>
  <c r="AT130" i="6"/>
  <c r="AU130" i="6"/>
  <c r="AV130" i="6"/>
  <c r="AR131" i="6"/>
  <c r="AS131" i="6"/>
  <c r="AT131" i="6"/>
  <c r="AU131" i="6"/>
  <c r="AV131" i="6"/>
  <c r="AR133" i="6"/>
  <c r="AS133" i="6"/>
  <c r="AT133" i="6"/>
  <c r="AU133" i="6"/>
  <c r="AV133" i="6"/>
  <c r="AR134" i="6"/>
  <c r="AS134" i="6"/>
  <c r="AT134" i="6"/>
  <c r="AU134" i="6"/>
  <c r="AV134" i="6"/>
  <c r="AR135" i="6"/>
  <c r="AS135" i="6"/>
  <c r="AT135" i="6"/>
  <c r="AU135" i="6"/>
  <c r="AV135" i="6"/>
  <c r="AR136" i="6"/>
  <c r="AS136" i="6"/>
  <c r="AT136" i="6"/>
  <c r="AU136" i="6"/>
  <c r="AV136" i="6"/>
  <c r="AR137" i="6"/>
  <c r="AS137" i="6"/>
  <c r="AT137" i="6"/>
  <c r="AU137" i="6"/>
  <c r="AV137" i="6"/>
  <c r="AR138" i="6"/>
  <c r="AS138" i="6"/>
  <c r="AT138" i="6"/>
  <c r="AU138" i="6"/>
  <c r="AV138" i="6"/>
  <c r="AR139" i="6"/>
  <c r="AS139" i="6"/>
  <c r="AT139" i="6"/>
  <c r="AU139" i="6"/>
  <c r="AV139" i="6"/>
  <c r="AR140" i="6"/>
  <c r="AS140" i="6"/>
  <c r="AT140" i="6"/>
  <c r="AU140" i="6"/>
  <c r="AV140" i="6"/>
  <c r="AR141" i="6"/>
  <c r="AS141" i="6"/>
  <c r="AT141" i="6"/>
  <c r="AU141" i="6"/>
  <c r="AV141" i="6"/>
  <c r="AR142" i="6"/>
  <c r="AS142" i="6"/>
  <c r="AT142" i="6"/>
  <c r="AU142" i="6"/>
  <c r="AV142" i="6"/>
  <c r="AR143" i="6"/>
  <c r="AS143" i="6"/>
  <c r="AT143" i="6"/>
  <c r="AU143" i="6"/>
  <c r="AV143" i="6"/>
  <c r="AR144" i="6"/>
  <c r="AS144" i="6"/>
  <c r="AT144" i="6"/>
  <c r="AU144" i="6"/>
  <c r="AV144" i="6"/>
  <c r="AR145" i="6"/>
  <c r="AS145" i="6"/>
  <c r="AT145" i="6"/>
  <c r="AU145" i="6"/>
  <c r="AV145" i="6"/>
  <c r="AR146" i="6"/>
  <c r="AS146" i="6"/>
  <c r="AT146" i="6"/>
  <c r="AU146" i="6"/>
  <c r="AV146" i="6"/>
  <c r="AR147" i="6"/>
  <c r="AS147" i="6"/>
  <c r="AT147" i="6"/>
  <c r="AU147" i="6"/>
  <c r="AV147" i="6"/>
  <c r="AR148" i="6"/>
  <c r="AS148" i="6"/>
  <c r="AT148" i="6"/>
  <c r="AU148" i="6"/>
  <c r="AV148" i="6"/>
  <c r="AR149" i="6"/>
  <c r="AS149" i="6"/>
  <c r="AT149" i="6"/>
  <c r="AU149" i="6"/>
  <c r="AV149" i="6"/>
  <c r="AR150" i="6"/>
  <c r="AS150" i="6"/>
  <c r="AT150" i="6"/>
  <c r="AU150" i="6"/>
  <c r="AV150" i="6"/>
  <c r="AR151" i="6"/>
  <c r="AS151" i="6"/>
  <c r="AT151" i="6"/>
  <c r="AU151" i="6"/>
  <c r="AV151" i="6"/>
  <c r="AR152" i="6"/>
  <c r="AS152" i="6"/>
  <c r="AT152" i="6"/>
  <c r="AU152" i="6"/>
  <c r="AV152" i="6"/>
  <c r="AR153" i="6"/>
  <c r="AS153" i="6"/>
  <c r="AT153" i="6"/>
  <c r="AU153" i="6"/>
  <c r="AV153" i="6"/>
  <c r="AR154" i="6"/>
  <c r="AS154" i="6"/>
  <c r="AT154" i="6"/>
  <c r="AU154" i="6"/>
  <c r="AV154" i="6"/>
  <c r="AR155" i="6"/>
  <c r="AS155" i="6"/>
  <c r="AT155" i="6"/>
  <c r="AU155" i="6"/>
  <c r="AV155" i="6"/>
  <c r="AR156" i="6"/>
  <c r="AS156" i="6"/>
  <c r="AT156" i="6"/>
  <c r="AU156" i="6"/>
  <c r="AV156" i="6"/>
  <c r="AR157" i="6"/>
  <c r="AS157" i="6"/>
  <c r="AT157" i="6"/>
  <c r="AU157" i="6"/>
  <c r="AV157" i="6"/>
  <c r="AR158" i="6"/>
  <c r="AS158" i="6"/>
  <c r="AT158" i="6"/>
  <c r="AU158" i="6"/>
  <c r="AV158" i="6"/>
  <c r="AR159" i="6"/>
  <c r="AS159" i="6"/>
  <c r="AT159" i="6"/>
  <c r="AU159" i="6"/>
  <c r="AV159" i="6"/>
  <c r="AR160" i="6"/>
  <c r="AS160" i="6"/>
  <c r="AT160" i="6"/>
  <c r="AU160" i="6"/>
  <c r="AV160" i="6"/>
  <c r="AR161" i="6"/>
  <c r="AS161" i="6"/>
  <c r="AT161" i="6"/>
  <c r="AU161" i="6"/>
  <c r="AV161" i="6"/>
  <c r="AR162" i="6"/>
  <c r="AS162" i="6"/>
  <c r="AT162" i="6"/>
  <c r="AU162" i="6"/>
  <c r="AV162" i="6"/>
  <c r="AR163" i="6"/>
  <c r="AS163" i="6"/>
  <c r="AT163" i="6"/>
  <c r="AU163" i="6"/>
  <c r="AV163" i="6"/>
  <c r="AR164" i="6"/>
  <c r="AS164" i="6"/>
  <c r="AT164" i="6"/>
  <c r="AU164" i="6"/>
  <c r="AV164" i="6"/>
  <c r="AR165" i="6"/>
  <c r="AS165" i="6"/>
  <c r="AT165" i="6"/>
  <c r="AU165" i="6"/>
  <c r="AR166" i="6"/>
  <c r="AS166" i="6"/>
  <c r="AT166" i="6"/>
  <c r="AU166" i="6"/>
  <c r="AV166" i="6"/>
  <c r="AR167" i="6"/>
  <c r="AS167" i="6"/>
  <c r="AT167" i="6"/>
  <c r="AU167" i="6"/>
  <c r="AV167" i="6"/>
  <c r="AR168" i="6"/>
  <c r="AS168" i="6"/>
  <c r="AT168" i="6"/>
  <c r="AU168" i="6"/>
  <c r="AV168" i="6"/>
  <c r="AR169" i="6"/>
  <c r="AS169" i="6"/>
  <c r="AT169" i="6"/>
  <c r="AU169" i="6"/>
  <c r="AV169" i="6"/>
  <c r="AR170" i="6"/>
  <c r="AS170" i="6"/>
  <c r="AT170" i="6"/>
  <c r="AU170" i="6"/>
  <c r="AV170" i="6"/>
  <c r="AR171" i="6"/>
  <c r="AS171" i="6"/>
  <c r="AT171" i="6"/>
  <c r="AU171" i="6"/>
  <c r="AR172" i="6"/>
  <c r="AS172" i="6"/>
  <c r="AT172" i="6"/>
  <c r="AU172" i="6"/>
  <c r="AV172" i="6"/>
  <c r="AR173" i="6"/>
  <c r="AS173" i="6"/>
  <c r="AT173" i="6"/>
  <c r="AU173" i="6"/>
  <c r="AV173" i="6"/>
  <c r="AR174" i="6"/>
  <c r="AS174" i="6"/>
  <c r="AT174" i="6"/>
  <c r="AU174" i="6"/>
  <c r="AV174" i="6"/>
  <c r="AR175" i="6"/>
  <c r="AS175" i="6"/>
  <c r="AT175" i="6"/>
  <c r="AU175" i="6"/>
  <c r="AV175" i="6"/>
  <c r="AR176" i="6"/>
  <c r="AS176" i="6"/>
  <c r="AT176" i="6"/>
  <c r="AU176" i="6"/>
  <c r="AV176" i="6"/>
  <c r="AR177" i="6"/>
  <c r="AS177" i="6"/>
  <c r="AT177" i="6"/>
  <c r="AU177" i="6"/>
  <c r="AV177" i="6"/>
  <c r="AR178" i="6"/>
  <c r="AS178" i="6"/>
  <c r="AT178" i="6"/>
  <c r="AU178" i="6"/>
  <c r="AV178" i="6"/>
  <c r="AR179" i="6"/>
  <c r="AS179" i="6"/>
  <c r="AT179" i="6"/>
  <c r="AU179" i="6"/>
  <c r="AV179" i="6"/>
  <c r="AR180" i="6"/>
  <c r="AS180" i="6"/>
  <c r="AT180" i="6"/>
  <c r="AU180" i="6"/>
  <c r="AV180" i="6"/>
  <c r="AR181" i="6"/>
  <c r="AS181" i="6"/>
  <c r="AT181" i="6"/>
  <c r="AU181" i="6"/>
  <c r="AV181" i="6"/>
  <c r="AR182" i="6"/>
  <c r="AS182" i="6"/>
  <c r="AT182" i="6"/>
  <c r="AU182" i="6"/>
  <c r="AV182" i="6"/>
  <c r="AR183" i="6"/>
  <c r="AS183" i="6"/>
  <c r="AT183" i="6"/>
  <c r="AU183" i="6"/>
  <c r="AR184" i="6"/>
  <c r="AS184" i="6"/>
  <c r="AT184" i="6"/>
  <c r="AU184" i="6"/>
  <c r="AV184" i="6"/>
  <c r="AR186" i="6"/>
  <c r="AS186" i="6"/>
  <c r="AT186" i="6"/>
  <c r="AU186" i="6"/>
  <c r="AV186" i="6"/>
  <c r="AR187" i="6"/>
  <c r="AS187" i="6"/>
  <c r="AT187" i="6"/>
  <c r="AU187" i="6"/>
  <c r="AV187" i="6"/>
  <c r="AR188" i="6"/>
  <c r="AS188" i="6"/>
  <c r="AT188" i="6"/>
  <c r="AU188" i="6"/>
  <c r="AV188" i="6"/>
  <c r="AR189" i="6"/>
  <c r="AS189" i="6"/>
  <c r="AT189" i="6"/>
  <c r="AU189" i="6"/>
  <c r="AV189" i="6"/>
  <c r="AR190" i="6"/>
  <c r="AS190" i="6"/>
  <c r="AT190" i="6"/>
  <c r="AU190" i="6"/>
  <c r="AV190" i="6"/>
  <c r="AR191" i="6"/>
  <c r="AS191" i="6"/>
  <c r="AT191" i="6"/>
  <c r="AU191" i="6"/>
  <c r="AV191" i="6"/>
  <c r="AR192" i="6"/>
  <c r="AS192" i="6"/>
  <c r="AT192" i="6"/>
  <c r="AU192" i="6"/>
  <c r="AV192" i="6"/>
  <c r="AR193" i="6"/>
  <c r="AS193" i="6"/>
  <c r="AT193" i="6"/>
  <c r="AU193" i="6"/>
  <c r="AV193" i="6"/>
  <c r="AR195" i="6"/>
  <c r="AS195" i="6"/>
  <c r="AT195" i="6"/>
  <c r="AU195" i="6"/>
  <c r="AV195" i="6"/>
  <c r="AR196" i="6"/>
  <c r="AS196" i="6"/>
  <c r="AT196" i="6"/>
  <c r="AU196" i="6"/>
  <c r="AV196" i="6"/>
  <c r="AR197" i="6"/>
  <c r="AS197" i="6"/>
  <c r="AT197" i="6"/>
  <c r="AU197" i="6"/>
  <c r="AV197" i="6"/>
  <c r="AR198" i="6"/>
  <c r="AS198" i="6"/>
  <c r="AT198" i="6"/>
  <c r="AU198" i="6"/>
  <c r="AV198" i="6"/>
  <c r="AR199" i="6"/>
  <c r="AS199" i="6"/>
  <c r="AT199" i="6"/>
  <c r="AU199" i="6"/>
  <c r="AV199" i="6"/>
  <c r="AR200" i="6"/>
  <c r="AS200" i="6"/>
  <c r="AT200" i="6"/>
  <c r="AU200" i="6"/>
  <c r="AV200" i="6"/>
  <c r="AR201" i="6"/>
  <c r="AS201" i="6"/>
  <c r="AT201" i="6"/>
  <c r="AU201" i="6"/>
  <c r="AV201" i="6"/>
  <c r="AR202" i="6"/>
  <c r="AS202" i="6"/>
  <c r="AT202" i="6"/>
  <c r="AU202" i="6"/>
  <c r="AV202" i="6"/>
  <c r="AR203" i="6"/>
  <c r="AS203" i="6"/>
  <c r="AT203" i="6"/>
  <c r="AU203" i="6"/>
  <c r="AV203" i="6"/>
  <c r="AR204" i="6"/>
  <c r="AS204" i="6"/>
  <c r="AT204" i="6"/>
  <c r="AU204" i="6"/>
  <c r="AV204" i="6"/>
  <c r="AR205" i="6"/>
  <c r="AS205" i="6"/>
  <c r="AT205" i="6"/>
  <c r="AU205" i="6"/>
  <c r="AV205" i="6"/>
  <c r="AR206" i="6"/>
  <c r="AS206" i="6"/>
  <c r="AT206" i="6"/>
  <c r="AU206" i="6"/>
  <c r="AV206" i="6"/>
  <c r="AR207" i="6"/>
  <c r="AS207" i="6"/>
  <c r="AT207" i="6"/>
  <c r="AU207" i="6"/>
  <c r="AV207" i="6"/>
  <c r="AR208" i="6"/>
  <c r="AS208" i="6"/>
  <c r="AT208" i="6"/>
  <c r="AU208" i="6"/>
  <c r="AV208" i="6"/>
  <c r="AR210" i="6"/>
  <c r="AS210" i="6"/>
  <c r="AT210" i="6"/>
  <c r="AU210" i="6"/>
  <c r="AV210" i="6"/>
  <c r="AR211" i="6"/>
  <c r="AS211" i="6"/>
  <c r="AT211" i="6"/>
  <c r="AU211" i="6"/>
  <c r="AV211" i="6"/>
  <c r="AR212" i="6"/>
  <c r="AS212" i="6"/>
  <c r="AT212" i="6"/>
  <c r="AU212" i="6"/>
  <c r="AV212" i="6"/>
  <c r="AR213" i="6"/>
  <c r="AS213" i="6"/>
  <c r="AT213" i="6"/>
  <c r="AU213" i="6"/>
  <c r="AV213" i="6"/>
  <c r="AR214" i="6"/>
  <c r="AS214" i="6"/>
  <c r="AT214" i="6"/>
  <c r="AU214" i="6"/>
  <c r="AV214" i="6"/>
  <c r="AR215" i="6"/>
  <c r="AS215" i="6"/>
  <c r="AT215" i="6"/>
  <c r="AU215" i="6"/>
  <c r="AV215" i="6"/>
  <c r="AR216" i="6"/>
  <c r="AS216" i="6"/>
  <c r="AT216" i="6"/>
  <c r="AU216" i="6"/>
  <c r="AV216" i="6"/>
  <c r="AR217" i="6"/>
  <c r="AS217" i="6"/>
  <c r="AT217" i="6"/>
  <c r="AU217" i="6"/>
  <c r="AV217" i="6"/>
  <c r="AV21" i="6"/>
  <c r="AU21" i="6"/>
  <c r="AT21" i="6"/>
  <c r="AS21" i="6"/>
  <c r="AR21" i="6"/>
  <c r="AR3" i="6"/>
  <c r="AS3" i="6"/>
  <c r="AT3" i="6"/>
  <c r="AU3" i="6"/>
  <c r="AV3" i="6"/>
  <c r="AR4" i="6"/>
  <c r="AS4" i="6"/>
  <c r="AT4" i="6"/>
  <c r="AU4" i="6"/>
  <c r="AV4" i="6"/>
  <c r="AR5" i="6"/>
  <c r="AS5" i="6"/>
  <c r="AT5" i="6"/>
  <c r="AU5" i="6"/>
  <c r="AV5" i="6"/>
  <c r="AR6" i="6"/>
  <c r="AS6" i="6"/>
  <c r="AT6" i="6"/>
  <c r="AU6" i="6"/>
  <c r="AV6" i="6"/>
  <c r="AR7" i="6"/>
  <c r="AS7" i="6"/>
  <c r="AT7" i="6"/>
  <c r="AU7" i="6"/>
  <c r="AV7" i="6"/>
  <c r="AR8" i="6"/>
  <c r="AS8" i="6"/>
  <c r="AT8" i="6"/>
  <c r="AU8" i="6"/>
  <c r="AV8" i="6"/>
  <c r="AR9" i="6"/>
  <c r="AS9" i="6"/>
  <c r="AT9" i="6"/>
  <c r="AU9" i="6"/>
  <c r="AV9" i="6"/>
  <c r="AR10" i="6"/>
  <c r="AS10" i="6"/>
  <c r="AT10" i="6"/>
  <c r="AU10" i="6"/>
  <c r="AV10" i="6"/>
  <c r="AR11" i="6"/>
  <c r="AS11" i="6"/>
  <c r="AT11" i="6"/>
  <c r="AU11" i="6"/>
  <c r="AV11" i="6"/>
  <c r="AR12" i="6"/>
  <c r="AS12" i="6"/>
  <c r="AT12" i="6"/>
  <c r="AU12" i="6"/>
  <c r="AV12" i="6"/>
  <c r="AR13" i="6"/>
  <c r="AS13" i="6"/>
  <c r="AT13" i="6"/>
  <c r="AU13" i="6"/>
  <c r="AV13" i="6"/>
  <c r="AR14" i="6"/>
  <c r="AS14" i="6"/>
  <c r="AT14" i="6"/>
  <c r="AU14" i="6"/>
  <c r="AV14" i="6"/>
  <c r="AR15" i="6"/>
  <c r="AS15" i="6"/>
  <c r="AT15" i="6"/>
  <c r="AU15" i="6"/>
  <c r="AV15" i="6"/>
  <c r="AR16" i="6"/>
  <c r="AS16" i="6"/>
  <c r="AT16" i="6"/>
  <c r="AU16" i="6"/>
  <c r="AV16" i="6"/>
  <c r="AR17" i="6"/>
  <c r="AS17" i="6"/>
  <c r="AT17" i="6"/>
  <c r="AU17" i="6"/>
  <c r="AV17" i="6"/>
  <c r="AV2" i="6"/>
  <c r="AU2" i="6"/>
  <c r="AT2" i="6"/>
  <c r="AS2" i="6"/>
  <c r="AR2" i="6"/>
  <c r="AX185" i="5"/>
  <c r="AX184" i="5"/>
  <c r="AX183" i="5"/>
  <c r="AX182" i="5"/>
  <c r="AX179" i="5"/>
  <c r="AX177" i="5"/>
  <c r="AX175" i="5"/>
  <c r="AX176" i="5"/>
  <c r="AX167" i="5"/>
  <c r="AX166" i="5"/>
  <c r="AX165" i="5"/>
  <c r="AX164" i="5"/>
  <c r="AY154" i="5"/>
  <c r="AX152" i="5"/>
  <c r="AY140" i="5"/>
  <c r="AX135" i="5"/>
  <c r="AX130" i="5"/>
  <c r="BN130" i="5" s="1"/>
  <c r="BT130" i="5" s="1"/>
  <c r="BB130" i="6" s="1"/>
  <c r="AY127" i="5"/>
  <c r="AZ127" i="5"/>
  <c r="BA127" i="5"/>
  <c r="BB127" i="5"/>
  <c r="BC127" i="5"/>
  <c r="AY126" i="5"/>
  <c r="AZ126" i="5"/>
  <c r="BA126" i="5"/>
  <c r="BB126" i="5"/>
  <c r="BC126" i="5"/>
  <c r="BB123" i="5"/>
  <c r="AX123" i="5"/>
  <c r="AY123" i="5"/>
  <c r="AY122" i="5"/>
  <c r="AX120" i="5"/>
  <c r="AY74" i="4"/>
  <c r="AY74" i="5"/>
  <c r="AX71" i="5"/>
  <c r="AX69" i="5"/>
  <c r="AL22" i="6"/>
  <c r="AM22" i="6"/>
  <c r="AN22" i="6"/>
  <c r="AO22" i="6"/>
  <c r="AP22" i="6"/>
  <c r="AL23" i="6"/>
  <c r="AM23" i="6"/>
  <c r="AN23" i="6"/>
  <c r="AO23" i="6"/>
  <c r="AP23" i="6"/>
  <c r="AL24" i="6"/>
  <c r="AM24" i="6"/>
  <c r="AN24" i="6"/>
  <c r="AO24" i="6"/>
  <c r="AP24" i="6"/>
  <c r="AL25" i="6"/>
  <c r="AM25" i="6"/>
  <c r="AN25" i="6"/>
  <c r="AO25" i="6"/>
  <c r="AP25" i="6"/>
  <c r="AL26" i="6"/>
  <c r="AM26" i="6"/>
  <c r="AN26" i="6"/>
  <c r="AO26" i="6"/>
  <c r="AP26" i="6"/>
  <c r="AL27" i="6"/>
  <c r="AM27" i="6"/>
  <c r="AN27" i="6"/>
  <c r="AO27" i="6"/>
  <c r="AP27" i="6"/>
  <c r="AL28" i="6"/>
  <c r="AM28" i="6"/>
  <c r="AN28" i="6"/>
  <c r="AO28" i="6"/>
  <c r="AP28" i="6"/>
  <c r="AL29" i="6"/>
  <c r="AM29" i="6"/>
  <c r="AN29" i="6"/>
  <c r="AO29" i="6"/>
  <c r="AP29" i="6"/>
  <c r="AL30" i="6"/>
  <c r="AM30" i="6"/>
  <c r="AN30" i="6"/>
  <c r="AO30" i="6"/>
  <c r="AP30" i="6"/>
  <c r="AL31" i="6"/>
  <c r="AM31" i="6"/>
  <c r="AN31" i="6"/>
  <c r="AO31" i="6"/>
  <c r="AP31" i="6"/>
  <c r="AL32" i="6"/>
  <c r="AM32" i="6"/>
  <c r="AN32" i="6"/>
  <c r="AO32" i="6"/>
  <c r="AP32" i="6"/>
  <c r="AL33" i="6"/>
  <c r="AM33" i="6"/>
  <c r="AN33" i="6"/>
  <c r="AO33" i="6"/>
  <c r="AP33" i="6"/>
  <c r="AL34" i="6"/>
  <c r="AM34" i="6"/>
  <c r="AN34" i="6"/>
  <c r="AO34" i="6"/>
  <c r="AP34" i="6"/>
  <c r="AL35" i="6"/>
  <c r="AM35" i="6"/>
  <c r="AN35" i="6"/>
  <c r="AO35" i="6"/>
  <c r="AP35" i="6"/>
  <c r="AL36" i="6"/>
  <c r="AM36" i="6"/>
  <c r="AN36" i="6"/>
  <c r="AO36" i="6"/>
  <c r="AP36" i="6"/>
  <c r="AL37" i="6"/>
  <c r="AM37" i="6"/>
  <c r="AN37" i="6"/>
  <c r="AO37" i="6"/>
  <c r="AP37" i="6"/>
  <c r="AL38" i="6"/>
  <c r="AM38" i="6"/>
  <c r="AN38" i="6"/>
  <c r="AO38" i="6"/>
  <c r="AP38" i="6"/>
  <c r="AL39" i="6"/>
  <c r="AM39" i="6"/>
  <c r="AN39" i="6"/>
  <c r="AO39" i="6"/>
  <c r="AP39" i="6"/>
  <c r="AL40" i="6"/>
  <c r="AM40" i="6"/>
  <c r="AN40" i="6"/>
  <c r="AO40" i="6"/>
  <c r="AP40" i="6"/>
  <c r="AL41" i="6"/>
  <c r="AM41" i="6"/>
  <c r="AN41" i="6"/>
  <c r="AO41" i="6"/>
  <c r="AP41" i="6"/>
  <c r="AL42" i="6"/>
  <c r="AM42" i="6"/>
  <c r="AN42" i="6"/>
  <c r="AO42" i="6"/>
  <c r="AP42" i="6"/>
  <c r="AL43" i="6"/>
  <c r="AM43" i="6"/>
  <c r="AN43" i="6"/>
  <c r="AO43" i="6"/>
  <c r="AP43" i="6"/>
  <c r="AL44" i="6"/>
  <c r="AM44" i="6"/>
  <c r="AN44" i="6"/>
  <c r="AO44" i="6"/>
  <c r="AP44" i="6"/>
  <c r="AL45" i="6"/>
  <c r="AM45" i="6"/>
  <c r="AN45" i="6"/>
  <c r="AO45" i="6"/>
  <c r="AP45" i="6"/>
  <c r="AL46" i="6"/>
  <c r="AM46" i="6"/>
  <c r="AN46" i="6"/>
  <c r="AO46" i="6"/>
  <c r="AP46" i="6"/>
  <c r="AL47" i="6"/>
  <c r="AM47" i="6"/>
  <c r="AN47" i="6"/>
  <c r="AO47" i="6"/>
  <c r="AP47" i="6"/>
  <c r="AL48" i="6"/>
  <c r="AM48" i="6"/>
  <c r="AN48" i="6"/>
  <c r="AO48" i="6"/>
  <c r="AP48" i="6"/>
  <c r="AL49" i="6"/>
  <c r="AM49" i="6"/>
  <c r="AN49" i="6"/>
  <c r="AO49" i="6"/>
  <c r="AP49" i="6"/>
  <c r="AL50" i="6"/>
  <c r="AP50" i="6"/>
  <c r="AL51" i="6"/>
  <c r="AM51" i="6"/>
  <c r="AN51" i="6"/>
  <c r="AO51" i="6"/>
  <c r="AP51" i="6"/>
  <c r="AL52" i="6"/>
  <c r="AM52" i="6"/>
  <c r="AN52" i="6"/>
  <c r="AO52" i="6"/>
  <c r="AP52" i="6"/>
  <c r="AL53" i="6"/>
  <c r="AM53" i="6"/>
  <c r="AN53" i="6"/>
  <c r="AO53" i="6"/>
  <c r="AP53" i="6"/>
  <c r="AL54" i="6"/>
  <c r="AM54" i="6"/>
  <c r="AN54" i="6"/>
  <c r="AO54" i="6"/>
  <c r="AP54" i="6"/>
  <c r="AL55" i="6"/>
  <c r="AM55" i="6"/>
  <c r="AN55" i="6"/>
  <c r="AO55" i="6"/>
  <c r="AP55" i="6"/>
  <c r="AL56" i="6"/>
  <c r="AM56" i="6"/>
  <c r="AN56" i="6"/>
  <c r="AO56" i="6"/>
  <c r="AP56" i="6"/>
  <c r="AL57" i="6"/>
  <c r="AM57" i="6"/>
  <c r="AN57" i="6"/>
  <c r="AO57" i="6"/>
  <c r="AP57" i="6"/>
  <c r="AL58" i="6"/>
  <c r="AM58" i="6"/>
  <c r="AN58" i="6"/>
  <c r="AO58" i="6"/>
  <c r="AP58" i="6"/>
  <c r="AL59" i="6"/>
  <c r="AM59" i="6"/>
  <c r="AN59" i="6"/>
  <c r="AO59" i="6"/>
  <c r="AP59" i="6"/>
  <c r="AL60" i="6"/>
  <c r="AM60" i="6"/>
  <c r="AN60" i="6"/>
  <c r="AO60" i="6"/>
  <c r="AP60" i="6"/>
  <c r="AL61" i="6"/>
  <c r="AL62" i="6"/>
  <c r="AM62" i="6"/>
  <c r="AN62" i="6"/>
  <c r="AO62" i="6"/>
  <c r="AP62" i="6"/>
  <c r="AL63" i="6"/>
  <c r="AM63" i="6"/>
  <c r="AN63" i="6"/>
  <c r="AO63" i="6"/>
  <c r="AP63" i="6"/>
  <c r="AL64" i="6"/>
  <c r="AL65" i="6"/>
  <c r="AL66" i="6"/>
  <c r="AM66" i="6"/>
  <c r="AN66" i="6"/>
  <c r="AO66" i="6"/>
  <c r="AP66" i="6"/>
  <c r="AL67" i="6"/>
  <c r="AM67" i="6"/>
  <c r="AN67" i="6"/>
  <c r="AO67" i="6"/>
  <c r="AP67" i="6"/>
  <c r="AL68" i="6"/>
  <c r="AL69" i="6"/>
  <c r="AM69" i="6"/>
  <c r="AN69" i="6"/>
  <c r="AO69" i="6"/>
  <c r="AL70" i="6"/>
  <c r="AM70" i="6"/>
  <c r="AN70" i="6"/>
  <c r="AO70" i="6"/>
  <c r="AP70" i="6"/>
  <c r="AL71" i="6"/>
  <c r="AM71" i="6"/>
  <c r="AN71" i="6"/>
  <c r="AO71" i="6"/>
  <c r="AP71" i="6"/>
  <c r="AL72" i="6"/>
  <c r="AM72" i="6"/>
  <c r="AN72" i="6"/>
  <c r="AO72" i="6"/>
  <c r="AP72" i="6"/>
  <c r="AL73" i="6"/>
  <c r="AM73" i="6"/>
  <c r="AO73" i="6"/>
  <c r="AP73" i="6"/>
  <c r="AL74" i="6"/>
  <c r="AM74" i="6"/>
  <c r="AN74" i="6"/>
  <c r="AL75" i="6"/>
  <c r="AM75" i="6"/>
  <c r="AN75" i="6"/>
  <c r="AO75" i="6"/>
  <c r="AP75" i="6"/>
  <c r="AL76" i="6"/>
  <c r="AM76" i="6"/>
  <c r="AN76" i="6"/>
  <c r="AO76" i="6"/>
  <c r="AP76" i="6"/>
  <c r="AL77" i="6"/>
  <c r="AM77" i="6"/>
  <c r="AN77" i="6"/>
  <c r="AO77" i="6"/>
  <c r="AP77" i="6"/>
  <c r="AL78" i="6"/>
  <c r="AM78" i="6"/>
  <c r="AN78" i="6"/>
  <c r="AO78" i="6"/>
  <c r="AP78" i="6"/>
  <c r="AL79" i="6"/>
  <c r="AM79" i="6"/>
  <c r="AN79" i="6"/>
  <c r="AO79" i="6"/>
  <c r="AP79" i="6"/>
  <c r="AL80" i="6"/>
  <c r="AM80" i="6"/>
  <c r="AN80" i="6"/>
  <c r="AO80" i="6"/>
  <c r="AP80" i="6"/>
  <c r="AL81" i="6"/>
  <c r="AM81" i="6"/>
  <c r="AN81" i="6"/>
  <c r="AO81" i="6"/>
  <c r="AP81" i="6"/>
  <c r="AL82" i="6"/>
  <c r="AL83" i="6"/>
  <c r="AM83" i="6"/>
  <c r="AN83" i="6"/>
  <c r="AO83" i="6"/>
  <c r="AP83" i="6"/>
  <c r="AL84" i="6"/>
  <c r="AM84" i="6"/>
  <c r="AN84" i="6"/>
  <c r="AO84" i="6"/>
  <c r="AP84" i="6"/>
  <c r="AL85" i="6"/>
  <c r="AM85" i="6"/>
  <c r="AN85" i="6"/>
  <c r="AO85" i="6"/>
  <c r="AP85" i="6"/>
  <c r="AL86" i="6"/>
  <c r="AM86" i="6"/>
  <c r="AN86" i="6"/>
  <c r="AO86" i="6"/>
  <c r="AP86" i="6"/>
  <c r="AL87" i="6"/>
  <c r="AM87" i="6"/>
  <c r="AN87" i="6"/>
  <c r="AO87" i="6"/>
  <c r="AP87" i="6"/>
  <c r="AL88" i="6"/>
  <c r="AM88" i="6"/>
  <c r="AN88" i="6"/>
  <c r="AO88" i="6"/>
  <c r="AP88" i="6"/>
  <c r="AL89" i="6"/>
  <c r="AM89" i="6"/>
  <c r="AN89" i="6"/>
  <c r="AO89" i="6"/>
  <c r="AP89" i="6"/>
  <c r="AL90" i="6"/>
  <c r="AM90" i="6"/>
  <c r="AN90" i="6"/>
  <c r="AO90" i="6"/>
  <c r="AP90" i="6"/>
  <c r="AL91" i="6"/>
  <c r="AM91" i="6"/>
  <c r="AN91" i="6"/>
  <c r="AO91" i="6"/>
  <c r="AP91" i="6"/>
  <c r="AL92" i="6"/>
  <c r="AM92" i="6"/>
  <c r="AN92" i="6"/>
  <c r="AO92" i="6"/>
  <c r="AP92" i="6"/>
  <c r="AL93" i="6"/>
  <c r="AM93" i="6"/>
  <c r="AN93" i="6"/>
  <c r="AO93" i="6"/>
  <c r="AP93" i="6"/>
  <c r="AL94" i="6"/>
  <c r="AM94" i="6"/>
  <c r="AN94" i="6"/>
  <c r="AO94" i="6"/>
  <c r="AP94" i="6"/>
  <c r="AL95" i="6"/>
  <c r="AM95" i="6"/>
  <c r="AN95" i="6"/>
  <c r="AO95" i="6"/>
  <c r="AP95" i="6"/>
  <c r="AL96" i="6"/>
  <c r="AM96" i="6"/>
  <c r="AN96" i="6"/>
  <c r="AO96" i="6"/>
  <c r="AP96" i="6"/>
  <c r="AL97" i="6"/>
  <c r="AM97" i="6"/>
  <c r="AN97" i="6"/>
  <c r="AO97" i="6"/>
  <c r="AP97" i="6"/>
  <c r="AL98" i="6"/>
  <c r="AM98" i="6"/>
  <c r="AN98" i="6"/>
  <c r="AO98" i="6"/>
  <c r="AP98" i="6"/>
  <c r="AL99" i="6"/>
  <c r="AM99" i="6"/>
  <c r="AN99" i="6"/>
  <c r="AO99" i="6"/>
  <c r="AP99" i="6"/>
  <c r="AL100" i="6"/>
  <c r="AM100" i="6"/>
  <c r="AN100" i="6"/>
  <c r="AO100" i="6"/>
  <c r="AP100" i="6"/>
  <c r="AL101" i="6"/>
  <c r="AM101" i="6"/>
  <c r="AN101" i="6"/>
  <c r="AO101" i="6"/>
  <c r="AP101" i="6"/>
  <c r="AL102" i="6"/>
  <c r="AM102" i="6"/>
  <c r="AN102" i="6"/>
  <c r="AO102" i="6"/>
  <c r="AP102" i="6"/>
  <c r="AL103" i="6"/>
  <c r="AM103" i="6"/>
  <c r="AN103" i="6"/>
  <c r="AO103" i="6"/>
  <c r="AP103" i="6"/>
  <c r="AL104" i="6"/>
  <c r="AM104" i="6"/>
  <c r="AN104" i="6"/>
  <c r="AO104" i="6"/>
  <c r="AP104" i="6"/>
  <c r="AL105" i="6"/>
  <c r="AM105" i="6"/>
  <c r="AN105" i="6"/>
  <c r="AO105" i="6"/>
  <c r="AP105" i="6"/>
  <c r="AL106" i="6"/>
  <c r="AM106" i="6"/>
  <c r="AN106" i="6"/>
  <c r="AO106" i="6"/>
  <c r="AP106" i="6"/>
  <c r="AL107" i="6"/>
  <c r="AM107" i="6"/>
  <c r="AN107" i="6"/>
  <c r="AO107" i="6"/>
  <c r="AP107" i="6"/>
  <c r="AL108" i="6"/>
  <c r="AM108" i="6"/>
  <c r="AN108" i="6"/>
  <c r="AO108" i="6"/>
  <c r="AP108" i="6"/>
  <c r="AL109" i="6"/>
  <c r="AM109" i="6"/>
  <c r="AN109" i="6"/>
  <c r="AO109" i="6"/>
  <c r="AP109" i="6"/>
  <c r="AL110" i="6"/>
  <c r="AM110" i="6"/>
  <c r="AN110" i="6"/>
  <c r="AO110" i="6"/>
  <c r="AP110" i="6"/>
  <c r="AL111" i="6"/>
  <c r="AL112" i="6"/>
  <c r="AM112" i="6"/>
  <c r="AN112" i="6"/>
  <c r="AO112" i="6"/>
  <c r="AP112" i="6"/>
  <c r="AL113" i="6"/>
  <c r="AM113" i="6"/>
  <c r="AN113" i="6"/>
  <c r="AO113" i="6"/>
  <c r="AP113" i="6"/>
  <c r="AL114" i="6"/>
  <c r="AM114" i="6"/>
  <c r="AN114" i="6"/>
  <c r="AO114" i="6"/>
  <c r="AP114" i="6"/>
  <c r="AL115" i="6"/>
  <c r="AM115" i="6"/>
  <c r="AN115" i="6"/>
  <c r="AO115" i="6"/>
  <c r="AP115" i="6"/>
  <c r="AL116" i="6"/>
  <c r="AL117" i="6"/>
  <c r="AM117" i="6"/>
  <c r="AN117" i="6"/>
  <c r="AO117" i="6"/>
  <c r="AP117" i="6"/>
  <c r="AL118" i="6"/>
  <c r="AM118" i="6"/>
  <c r="AN118" i="6"/>
  <c r="AO118" i="6"/>
  <c r="AP118" i="6"/>
  <c r="AL119" i="6"/>
  <c r="AM119" i="6"/>
  <c r="AN119" i="6"/>
  <c r="AO119" i="6"/>
  <c r="AP119" i="6"/>
  <c r="AL120" i="6"/>
  <c r="AM120" i="6"/>
  <c r="AN120" i="6"/>
  <c r="AO120" i="6"/>
  <c r="AL121" i="6"/>
  <c r="AM121" i="6"/>
  <c r="AN121" i="6"/>
  <c r="AO121" i="6"/>
  <c r="AP121" i="6"/>
  <c r="AL122" i="6"/>
  <c r="AM122" i="6"/>
  <c r="AN122" i="6"/>
  <c r="AO122" i="6"/>
  <c r="AL123" i="6"/>
  <c r="AL124" i="6"/>
  <c r="AM124" i="6"/>
  <c r="AN124" i="6"/>
  <c r="AO124" i="6"/>
  <c r="AP124" i="6"/>
  <c r="AL125" i="6"/>
  <c r="AL126" i="6"/>
  <c r="AL127" i="6"/>
  <c r="AL128" i="6"/>
  <c r="AL129" i="6"/>
  <c r="AL130" i="6"/>
  <c r="AL131" i="6"/>
  <c r="AM131" i="6"/>
  <c r="AN131" i="6"/>
  <c r="AO131" i="6"/>
  <c r="AP131" i="6"/>
  <c r="AL132" i="6"/>
  <c r="AL133" i="6"/>
  <c r="AM133" i="6"/>
  <c r="AN133" i="6"/>
  <c r="AO133" i="6"/>
  <c r="AP133" i="6"/>
  <c r="AL134" i="6"/>
  <c r="AM134" i="6"/>
  <c r="AN134" i="6"/>
  <c r="AO134" i="6"/>
  <c r="AP134" i="6"/>
  <c r="AL135" i="6"/>
  <c r="AM135" i="6"/>
  <c r="AN135" i="6"/>
  <c r="AO135" i="6"/>
  <c r="AL136" i="6"/>
  <c r="AM136" i="6"/>
  <c r="AN136" i="6"/>
  <c r="AO136" i="6"/>
  <c r="AP136" i="6"/>
  <c r="AL137" i="6"/>
  <c r="AM137" i="6"/>
  <c r="AN137" i="6"/>
  <c r="AO137" i="6"/>
  <c r="AP137" i="6"/>
  <c r="AL138" i="6"/>
  <c r="AL139" i="6"/>
  <c r="AM139" i="6"/>
  <c r="AN139" i="6"/>
  <c r="AO139" i="6"/>
  <c r="AP139" i="6"/>
  <c r="AL140" i="6"/>
  <c r="AM140" i="6"/>
  <c r="AN140" i="6"/>
  <c r="AO140" i="6"/>
  <c r="AL141" i="6"/>
  <c r="AL142" i="6"/>
  <c r="AM142" i="6"/>
  <c r="AN142" i="6"/>
  <c r="AO142" i="6"/>
  <c r="AP142" i="6"/>
  <c r="AL143" i="6"/>
  <c r="AM143" i="6"/>
  <c r="AN143" i="6"/>
  <c r="AO143" i="6"/>
  <c r="AP143" i="6"/>
  <c r="AL144" i="6"/>
  <c r="AL145" i="6"/>
  <c r="AL146" i="6"/>
  <c r="AM146" i="6"/>
  <c r="AN146" i="6"/>
  <c r="AO146" i="6"/>
  <c r="AP146" i="6"/>
  <c r="AL147" i="6"/>
  <c r="AM147" i="6"/>
  <c r="AN147" i="6"/>
  <c r="AO147" i="6"/>
  <c r="AP147" i="6"/>
  <c r="AL148" i="6"/>
  <c r="AM148" i="6"/>
  <c r="AN148" i="6"/>
  <c r="AO148" i="6"/>
  <c r="AP148" i="6"/>
  <c r="AL149" i="6"/>
  <c r="AL150" i="6"/>
  <c r="AM150" i="6"/>
  <c r="AN150" i="6"/>
  <c r="AO150" i="6"/>
  <c r="AP150" i="6"/>
  <c r="AL151" i="6"/>
  <c r="AM151" i="6"/>
  <c r="AN151" i="6"/>
  <c r="AO151" i="6"/>
  <c r="AP151" i="6"/>
  <c r="AL152" i="6"/>
  <c r="AM152" i="6"/>
  <c r="AN152" i="6"/>
  <c r="AO152" i="6"/>
  <c r="AL153" i="6"/>
  <c r="AL154" i="6"/>
  <c r="AM154" i="6"/>
  <c r="AN154" i="6"/>
  <c r="AO154" i="6"/>
  <c r="AL155" i="6"/>
  <c r="AL156" i="6"/>
  <c r="AL157" i="6"/>
  <c r="AL158" i="6"/>
  <c r="AM158" i="6"/>
  <c r="AN158" i="6"/>
  <c r="AO158" i="6"/>
  <c r="AP158" i="6"/>
  <c r="AL159" i="6"/>
  <c r="AL160" i="6"/>
  <c r="AM160" i="6"/>
  <c r="AN160" i="6"/>
  <c r="AO160" i="6"/>
  <c r="AP160" i="6"/>
  <c r="AL161" i="6"/>
  <c r="AM161" i="6"/>
  <c r="AN161" i="6"/>
  <c r="AO161" i="6"/>
  <c r="AP161" i="6"/>
  <c r="AL162" i="6"/>
  <c r="AM162" i="6"/>
  <c r="AN162" i="6"/>
  <c r="AO162" i="6"/>
  <c r="AP162" i="6"/>
  <c r="AL163" i="6"/>
  <c r="AL164" i="6"/>
  <c r="AL165" i="6"/>
  <c r="AM165" i="6"/>
  <c r="AN165" i="6"/>
  <c r="AO165" i="6"/>
  <c r="AP165" i="6"/>
  <c r="AL166" i="6"/>
  <c r="AM166" i="6"/>
  <c r="AN166" i="6"/>
  <c r="AO166" i="6"/>
  <c r="AL167" i="6"/>
  <c r="AM167" i="6"/>
  <c r="AN167" i="6"/>
  <c r="AO167" i="6"/>
  <c r="AP167" i="6"/>
  <c r="AL168" i="6"/>
  <c r="AL169" i="6"/>
  <c r="AM169" i="6"/>
  <c r="AN169" i="6"/>
  <c r="AO169" i="6"/>
  <c r="AL170" i="6"/>
  <c r="AL171" i="6"/>
  <c r="AL172" i="6"/>
  <c r="AM172" i="6"/>
  <c r="AN172" i="6"/>
  <c r="AO172" i="6"/>
  <c r="AP172" i="6"/>
  <c r="AL173" i="6"/>
  <c r="AM173" i="6"/>
  <c r="AN173" i="6"/>
  <c r="AO173" i="6"/>
  <c r="AP173" i="6"/>
  <c r="AL174" i="6"/>
  <c r="AM174" i="6"/>
  <c r="AN174" i="6"/>
  <c r="AO174" i="6"/>
  <c r="AP174" i="6"/>
  <c r="AL175" i="6"/>
  <c r="AM175" i="6"/>
  <c r="AN175" i="6"/>
  <c r="AO175" i="6"/>
  <c r="AP175" i="6"/>
  <c r="AL176" i="6"/>
  <c r="AM176" i="6"/>
  <c r="AN176" i="6"/>
  <c r="AO176" i="6"/>
  <c r="AL177" i="6"/>
  <c r="AM177" i="6"/>
  <c r="AN177" i="6"/>
  <c r="AO177" i="6"/>
  <c r="AP177" i="6"/>
  <c r="AL178" i="6"/>
  <c r="AL179" i="6"/>
  <c r="AM179" i="6"/>
  <c r="AN179" i="6"/>
  <c r="AO179" i="6"/>
  <c r="AP179" i="6"/>
  <c r="AL180" i="6"/>
  <c r="AM180" i="6"/>
  <c r="AN180" i="6"/>
  <c r="AO180" i="6"/>
  <c r="AP180" i="6"/>
  <c r="AL181" i="6"/>
  <c r="AM181" i="6"/>
  <c r="AN181" i="6"/>
  <c r="AO181" i="6"/>
  <c r="AP181" i="6"/>
  <c r="AL182" i="6"/>
  <c r="AM182" i="6"/>
  <c r="AN182" i="6"/>
  <c r="AO182" i="6"/>
  <c r="AP182" i="6"/>
  <c r="AL183" i="6"/>
  <c r="AM183" i="6"/>
  <c r="AN183" i="6"/>
  <c r="AO183" i="6"/>
  <c r="AL184" i="6"/>
  <c r="AM184" i="6"/>
  <c r="AN184" i="6"/>
  <c r="AO184" i="6"/>
  <c r="AP184" i="6"/>
  <c r="AL185" i="6"/>
  <c r="AM185" i="6"/>
  <c r="AN185" i="6"/>
  <c r="AO185" i="6"/>
  <c r="AP185" i="6"/>
  <c r="AL186" i="6"/>
  <c r="AM186" i="6"/>
  <c r="AN186" i="6"/>
  <c r="AO186" i="6"/>
  <c r="AP186" i="6"/>
  <c r="AL187" i="6"/>
  <c r="AM187" i="6"/>
  <c r="AN187" i="6"/>
  <c r="AO187" i="6"/>
  <c r="AP187" i="6"/>
  <c r="AL188" i="6"/>
  <c r="AM188" i="6"/>
  <c r="AN188" i="6"/>
  <c r="AO188" i="6"/>
  <c r="AP188" i="6"/>
  <c r="AL189" i="6"/>
  <c r="AM189" i="6"/>
  <c r="AN189" i="6"/>
  <c r="AO189" i="6"/>
  <c r="AP189" i="6"/>
  <c r="AL190" i="6"/>
  <c r="AM190" i="6"/>
  <c r="AN190" i="6"/>
  <c r="AO190" i="6"/>
  <c r="AP190" i="6"/>
  <c r="AL191" i="6"/>
  <c r="AM191" i="6"/>
  <c r="AN191" i="6"/>
  <c r="AO191" i="6"/>
  <c r="AP191" i="6"/>
  <c r="AL192" i="6"/>
  <c r="AM192" i="6"/>
  <c r="AN192" i="6"/>
  <c r="AO192" i="6"/>
  <c r="AP192" i="6"/>
  <c r="AL193" i="6"/>
  <c r="AL194" i="6"/>
  <c r="AL195" i="6"/>
  <c r="AM195" i="6"/>
  <c r="AN195" i="6"/>
  <c r="AO195" i="6"/>
  <c r="AP195" i="6"/>
  <c r="AL196" i="6"/>
  <c r="AM196" i="6"/>
  <c r="AN196" i="6"/>
  <c r="AO196" i="6"/>
  <c r="AP196" i="6"/>
  <c r="AL197" i="6"/>
  <c r="AM197" i="6"/>
  <c r="AN197" i="6"/>
  <c r="AO197" i="6"/>
  <c r="AP197" i="6"/>
  <c r="AL198" i="6"/>
  <c r="AM198" i="6"/>
  <c r="AN198" i="6"/>
  <c r="AO198" i="6"/>
  <c r="AP198" i="6"/>
  <c r="AL199" i="6"/>
  <c r="AM199" i="6"/>
  <c r="AN199" i="6"/>
  <c r="AO199" i="6"/>
  <c r="AP199" i="6"/>
  <c r="AL200" i="6"/>
  <c r="AM200" i="6"/>
  <c r="AN200" i="6"/>
  <c r="AO200" i="6"/>
  <c r="AP200" i="6"/>
  <c r="AL201" i="6"/>
  <c r="AM201" i="6"/>
  <c r="AN201" i="6"/>
  <c r="AO201" i="6"/>
  <c r="AP201" i="6"/>
  <c r="AL202" i="6"/>
  <c r="AM202" i="6"/>
  <c r="AN202" i="6"/>
  <c r="AO202" i="6"/>
  <c r="AP202" i="6"/>
  <c r="AL203" i="6"/>
  <c r="AM203" i="6"/>
  <c r="AN203" i="6"/>
  <c r="AO203" i="6"/>
  <c r="AP203" i="6"/>
  <c r="AL204" i="6"/>
  <c r="AM204" i="6"/>
  <c r="AN204" i="6"/>
  <c r="AO204" i="6"/>
  <c r="AP204" i="6"/>
  <c r="AL205" i="6"/>
  <c r="AM205" i="6"/>
  <c r="AN205" i="6"/>
  <c r="AO205" i="6"/>
  <c r="AP205" i="6"/>
  <c r="AL206" i="6"/>
  <c r="AM206" i="6"/>
  <c r="AN206" i="6"/>
  <c r="AO206" i="6"/>
  <c r="AP206" i="6"/>
  <c r="AL207" i="6"/>
  <c r="AM207" i="6"/>
  <c r="AN207" i="6"/>
  <c r="AO207" i="6"/>
  <c r="AP207" i="6"/>
  <c r="AL208" i="6"/>
  <c r="AM208" i="6"/>
  <c r="AN208" i="6"/>
  <c r="AO208" i="6"/>
  <c r="AP208" i="6"/>
  <c r="AL209" i="6"/>
  <c r="AL210" i="6"/>
  <c r="AM210" i="6"/>
  <c r="AN210" i="6"/>
  <c r="AO210" i="6"/>
  <c r="AP210" i="6"/>
  <c r="AL211" i="6"/>
  <c r="AM211" i="6"/>
  <c r="AN211" i="6"/>
  <c r="AO211" i="6"/>
  <c r="AP211" i="6"/>
  <c r="AL212" i="6"/>
  <c r="AM212" i="6"/>
  <c r="AN212" i="6"/>
  <c r="AO212" i="6"/>
  <c r="AP212" i="6"/>
  <c r="AL213" i="6"/>
  <c r="AM213" i="6"/>
  <c r="AN213" i="6"/>
  <c r="AO213" i="6"/>
  <c r="AP213" i="6"/>
  <c r="AL214" i="6"/>
  <c r="AM214" i="6"/>
  <c r="AN214" i="6"/>
  <c r="AO214" i="6"/>
  <c r="AP214" i="6"/>
  <c r="AL215" i="6"/>
  <c r="AM215" i="6"/>
  <c r="AN215" i="6"/>
  <c r="AO215" i="6"/>
  <c r="AP215" i="6"/>
  <c r="AL216" i="6"/>
  <c r="AM216" i="6"/>
  <c r="AN216" i="6"/>
  <c r="AO216" i="6"/>
  <c r="AP216" i="6"/>
  <c r="AL217" i="6"/>
  <c r="AM217" i="6"/>
  <c r="AN217" i="6"/>
  <c r="AO217" i="6"/>
  <c r="AP217" i="6"/>
  <c r="AL218" i="6"/>
  <c r="AL219" i="6"/>
  <c r="AP21" i="6"/>
  <c r="AO21" i="6"/>
  <c r="AN21" i="6"/>
  <c r="AM21" i="6"/>
  <c r="AL21" i="6"/>
  <c r="AL3" i="6"/>
  <c r="AL4" i="6"/>
  <c r="AM4" i="6"/>
  <c r="AN4" i="6"/>
  <c r="AO4" i="6"/>
  <c r="AP4" i="6"/>
  <c r="AL5" i="6"/>
  <c r="AM5" i="6"/>
  <c r="AN5" i="6"/>
  <c r="AO5" i="6"/>
  <c r="AP5" i="6"/>
  <c r="AL6" i="6"/>
  <c r="AM6" i="6"/>
  <c r="AN6" i="6"/>
  <c r="AO6" i="6"/>
  <c r="AP6" i="6"/>
  <c r="AL7" i="6"/>
  <c r="AM7" i="6"/>
  <c r="AN7" i="6"/>
  <c r="AO7" i="6"/>
  <c r="AP7" i="6"/>
  <c r="AL8" i="6"/>
  <c r="AM8" i="6"/>
  <c r="AN8" i="6"/>
  <c r="AO8" i="6"/>
  <c r="AP8" i="6"/>
  <c r="AL9" i="6"/>
  <c r="AM9" i="6"/>
  <c r="AN9" i="6"/>
  <c r="AO9" i="6"/>
  <c r="AP9" i="6"/>
  <c r="AL10" i="6"/>
  <c r="AM10" i="6"/>
  <c r="AN10" i="6"/>
  <c r="AO10" i="6"/>
  <c r="AP10" i="6"/>
  <c r="AL11" i="6"/>
  <c r="AM11" i="6"/>
  <c r="AN11" i="6"/>
  <c r="AO11" i="6"/>
  <c r="AP11" i="6"/>
  <c r="AL12" i="6"/>
  <c r="AM12" i="6"/>
  <c r="AN12" i="6"/>
  <c r="AO12" i="6"/>
  <c r="AP12" i="6"/>
  <c r="AL13" i="6"/>
  <c r="AM13" i="6"/>
  <c r="AN13" i="6"/>
  <c r="AO13" i="6"/>
  <c r="AP13" i="6"/>
  <c r="AL14" i="6"/>
  <c r="AM14" i="6"/>
  <c r="AN14" i="6"/>
  <c r="AO14" i="6"/>
  <c r="AP14" i="6"/>
  <c r="AL15" i="6"/>
  <c r="AM15" i="6"/>
  <c r="AN15" i="6"/>
  <c r="AO15" i="6"/>
  <c r="AP15" i="6"/>
  <c r="AL16" i="6"/>
  <c r="AM16" i="6"/>
  <c r="AN16" i="6"/>
  <c r="AO16" i="6"/>
  <c r="AP16" i="6"/>
  <c r="AL17" i="6"/>
  <c r="AO17" i="6"/>
  <c r="AP17" i="6"/>
  <c r="AP2" i="6"/>
  <c r="AO2" i="6"/>
  <c r="AN2" i="6"/>
  <c r="AM2" i="6"/>
  <c r="AL2" i="6"/>
  <c r="AP206" i="5"/>
  <c r="AP205" i="5"/>
  <c r="AP203" i="5"/>
  <c r="AP202" i="5"/>
  <c r="AP201" i="5"/>
  <c r="AP200" i="5"/>
  <c r="AP199" i="5"/>
  <c r="AP197" i="5"/>
  <c r="F19" i="16"/>
  <c r="F13" i="16"/>
  <c r="AP184" i="5"/>
  <c r="AP183" i="5"/>
  <c r="AP182" i="5"/>
  <c r="AP179" i="5"/>
  <c r="AP178" i="5"/>
  <c r="AP177" i="5"/>
  <c r="AP176" i="5"/>
  <c r="AP175" i="5"/>
  <c r="AP174" i="5"/>
  <c r="AP166" i="5"/>
  <c r="AP165" i="5"/>
  <c r="AP162" i="5"/>
  <c r="AP154" i="5"/>
  <c r="AQ154" i="5"/>
  <c r="AQ153" i="5"/>
  <c r="AP152" i="5"/>
  <c r="AF22" i="6"/>
  <c r="AG22" i="6"/>
  <c r="AH22" i="6"/>
  <c r="AI22" i="6"/>
  <c r="AJ22" i="6"/>
  <c r="AF23" i="6"/>
  <c r="AG23" i="6"/>
  <c r="AH23" i="6"/>
  <c r="AI23" i="6"/>
  <c r="AJ23" i="6"/>
  <c r="AF24" i="6"/>
  <c r="AG24" i="6"/>
  <c r="AJ24" i="6"/>
  <c r="AF25" i="6"/>
  <c r="AG25" i="6"/>
  <c r="AH25" i="6"/>
  <c r="AI25" i="6"/>
  <c r="AJ25" i="6"/>
  <c r="AF26" i="6"/>
  <c r="AG26" i="6"/>
  <c r="AH26" i="6"/>
  <c r="AI26" i="6"/>
  <c r="AJ26" i="6"/>
  <c r="AF27" i="6"/>
  <c r="AG27" i="6"/>
  <c r="AH27" i="6"/>
  <c r="AI27" i="6"/>
  <c r="AJ27" i="6"/>
  <c r="AF28" i="6"/>
  <c r="AG28" i="6"/>
  <c r="AH28" i="6"/>
  <c r="AI28" i="6"/>
  <c r="AJ28" i="6"/>
  <c r="AF29" i="6"/>
  <c r="AG29" i="6"/>
  <c r="AH29" i="6"/>
  <c r="AI29" i="6"/>
  <c r="AJ29" i="6"/>
  <c r="AF30" i="6"/>
  <c r="AG30" i="6"/>
  <c r="AH30" i="6"/>
  <c r="AI30" i="6"/>
  <c r="AJ30" i="6"/>
  <c r="AF31" i="6"/>
  <c r="AG31" i="6"/>
  <c r="AH31" i="6"/>
  <c r="AI31" i="6"/>
  <c r="AJ31" i="6"/>
  <c r="AF32" i="6"/>
  <c r="AG32" i="6"/>
  <c r="AH32" i="6"/>
  <c r="AI32" i="6"/>
  <c r="AJ32" i="6"/>
  <c r="AF33" i="6"/>
  <c r="AG33" i="6"/>
  <c r="AH33" i="6"/>
  <c r="AI33" i="6"/>
  <c r="AJ33" i="6"/>
  <c r="AF34" i="6"/>
  <c r="AG34" i="6"/>
  <c r="AH34" i="6"/>
  <c r="AI34" i="6"/>
  <c r="AJ34" i="6"/>
  <c r="AF35" i="6"/>
  <c r="AG35" i="6"/>
  <c r="AH35" i="6"/>
  <c r="AI35" i="6"/>
  <c r="AJ35" i="6"/>
  <c r="AF36" i="6"/>
  <c r="AG36" i="6"/>
  <c r="AH36" i="6"/>
  <c r="AI36" i="6"/>
  <c r="AJ36" i="6"/>
  <c r="AF37" i="6"/>
  <c r="AG37" i="6"/>
  <c r="AH37" i="6"/>
  <c r="AI37" i="6"/>
  <c r="AJ37" i="6"/>
  <c r="AF38" i="6"/>
  <c r="AG38" i="6"/>
  <c r="AH38" i="6"/>
  <c r="AI38" i="6"/>
  <c r="AJ38" i="6"/>
  <c r="AF39" i="6"/>
  <c r="AG39" i="6"/>
  <c r="AH39" i="6"/>
  <c r="AI39" i="6"/>
  <c r="AJ39" i="6"/>
  <c r="AF40" i="6"/>
  <c r="AG40" i="6"/>
  <c r="AH40" i="6"/>
  <c r="AI40" i="6"/>
  <c r="AJ40" i="6"/>
  <c r="AF41" i="6"/>
  <c r="AG41" i="6"/>
  <c r="AH41" i="6"/>
  <c r="AI41" i="6"/>
  <c r="AJ41" i="6"/>
  <c r="AF42" i="6"/>
  <c r="AG42" i="6"/>
  <c r="AH42" i="6"/>
  <c r="AI42" i="6"/>
  <c r="AJ42" i="6"/>
  <c r="AF43" i="6"/>
  <c r="AG43" i="6"/>
  <c r="AH43" i="6"/>
  <c r="AI43" i="6"/>
  <c r="AJ43" i="6"/>
  <c r="AF44" i="6"/>
  <c r="AG44" i="6"/>
  <c r="AH44" i="6"/>
  <c r="AI44" i="6"/>
  <c r="AJ44" i="6"/>
  <c r="AF45" i="6"/>
  <c r="AG45" i="6"/>
  <c r="AH45" i="6"/>
  <c r="AI45" i="6"/>
  <c r="AJ45" i="6"/>
  <c r="AF46" i="6"/>
  <c r="AG46" i="6"/>
  <c r="AH46" i="6"/>
  <c r="AI46" i="6"/>
  <c r="AJ46" i="6"/>
  <c r="AF47" i="6"/>
  <c r="AG47" i="6"/>
  <c r="AH47" i="6"/>
  <c r="AI47" i="6"/>
  <c r="AJ47" i="6"/>
  <c r="AF48" i="6"/>
  <c r="AG48" i="6"/>
  <c r="AH48" i="6"/>
  <c r="AI48" i="6"/>
  <c r="AJ48" i="6"/>
  <c r="AF49" i="6"/>
  <c r="AG49" i="6"/>
  <c r="AH49" i="6"/>
  <c r="AI49" i="6"/>
  <c r="AJ49" i="6"/>
  <c r="AF50" i="6"/>
  <c r="AG50" i="6"/>
  <c r="AF51" i="6"/>
  <c r="AG51" i="6"/>
  <c r="AH51" i="6"/>
  <c r="AI51" i="6"/>
  <c r="AJ51" i="6"/>
  <c r="AF52" i="6"/>
  <c r="AG52" i="6"/>
  <c r="AH52" i="6"/>
  <c r="AI52" i="6"/>
  <c r="AJ52" i="6"/>
  <c r="AF53" i="6"/>
  <c r="AG53" i="6"/>
  <c r="AH53" i="6"/>
  <c r="AI53" i="6"/>
  <c r="AJ53" i="6"/>
  <c r="AF54" i="6"/>
  <c r="AG54" i="6"/>
  <c r="AH54" i="6"/>
  <c r="AI54" i="6"/>
  <c r="AJ54" i="6"/>
  <c r="AF55" i="6"/>
  <c r="AG55" i="6"/>
  <c r="AH55" i="6"/>
  <c r="AI55" i="6"/>
  <c r="AJ55" i="6"/>
  <c r="AF56" i="6"/>
  <c r="AG56" i="6"/>
  <c r="AH56" i="6"/>
  <c r="AI56" i="6"/>
  <c r="AJ56" i="6"/>
  <c r="AF57" i="6"/>
  <c r="AG57" i="6"/>
  <c r="AH57" i="6"/>
  <c r="AI57" i="6"/>
  <c r="AJ57" i="6"/>
  <c r="AF58" i="6"/>
  <c r="AG58" i="6"/>
  <c r="AH58" i="6"/>
  <c r="AI58" i="6"/>
  <c r="AJ58" i="6"/>
  <c r="AF59" i="6"/>
  <c r="AG59" i="6"/>
  <c r="AH59" i="6"/>
  <c r="AI59" i="6"/>
  <c r="AJ59" i="6"/>
  <c r="AF60" i="6"/>
  <c r="AG60" i="6"/>
  <c r="AH60" i="6"/>
  <c r="AI60" i="6"/>
  <c r="AJ60" i="6"/>
  <c r="AF61" i="6"/>
  <c r="AG61" i="6"/>
  <c r="AF62" i="6"/>
  <c r="AG62" i="6"/>
  <c r="AH62" i="6"/>
  <c r="AI62" i="6"/>
  <c r="AJ62" i="6"/>
  <c r="AF63" i="6"/>
  <c r="AG63" i="6"/>
  <c r="AH63" i="6"/>
  <c r="AI63" i="6"/>
  <c r="AJ63" i="6"/>
  <c r="AF64" i="6"/>
  <c r="AG64" i="6"/>
  <c r="AF65" i="6"/>
  <c r="AG65" i="6"/>
  <c r="AF66" i="6"/>
  <c r="AG66" i="6"/>
  <c r="AH66" i="6"/>
  <c r="AI66" i="6"/>
  <c r="AJ66" i="6"/>
  <c r="AF67" i="6"/>
  <c r="AG67" i="6"/>
  <c r="AH67" i="6"/>
  <c r="AI67" i="6"/>
  <c r="AJ67" i="6"/>
  <c r="AF68" i="6"/>
  <c r="AF69" i="6"/>
  <c r="AG69" i="6"/>
  <c r="AH69" i="6"/>
  <c r="AI69" i="6"/>
  <c r="AJ69" i="6"/>
  <c r="AF70" i="6"/>
  <c r="AG70" i="6"/>
  <c r="AH70" i="6"/>
  <c r="AI70" i="6"/>
  <c r="AJ70" i="6"/>
  <c r="AF71" i="6"/>
  <c r="AG71" i="6"/>
  <c r="AF72" i="6"/>
  <c r="AG72" i="6"/>
  <c r="AJ72" i="6"/>
  <c r="AF73" i="6"/>
  <c r="AF74" i="6"/>
  <c r="AG74" i="6"/>
  <c r="AH74" i="6"/>
  <c r="AI74" i="6"/>
  <c r="AJ74" i="6"/>
  <c r="AF75" i="6"/>
  <c r="AG75" i="6"/>
  <c r="AH75" i="6"/>
  <c r="AI75" i="6"/>
  <c r="AJ75" i="6"/>
  <c r="AF76" i="6"/>
  <c r="AG76" i="6"/>
  <c r="AH76" i="6"/>
  <c r="AI76" i="6"/>
  <c r="AJ76" i="6"/>
  <c r="AF77" i="6"/>
  <c r="AG77" i="6"/>
  <c r="AH77" i="6"/>
  <c r="AI77" i="6"/>
  <c r="AJ77" i="6"/>
  <c r="AF78" i="6"/>
  <c r="AG78" i="6"/>
  <c r="AH78" i="6"/>
  <c r="AI78" i="6"/>
  <c r="AJ78" i="6"/>
  <c r="AF79" i="6"/>
  <c r="AG79" i="6"/>
  <c r="AH79" i="6"/>
  <c r="AI79" i="6"/>
  <c r="AJ79" i="6"/>
  <c r="AF80" i="6"/>
  <c r="AG80" i="6"/>
  <c r="AH80" i="6"/>
  <c r="AI80" i="6"/>
  <c r="AJ80" i="6"/>
  <c r="AF81" i="6"/>
  <c r="AG81" i="6"/>
  <c r="AH81" i="6"/>
  <c r="AI81" i="6"/>
  <c r="AJ81" i="6"/>
  <c r="AF82" i="6"/>
  <c r="AF83" i="6"/>
  <c r="AG83" i="6"/>
  <c r="AH83" i="6"/>
  <c r="AI83" i="6"/>
  <c r="AJ83" i="6"/>
  <c r="AF84" i="6"/>
  <c r="AG84" i="6"/>
  <c r="AH84" i="6"/>
  <c r="AI84" i="6"/>
  <c r="AJ84" i="6"/>
  <c r="AF85" i="6"/>
  <c r="AG85" i="6"/>
  <c r="AH85" i="6"/>
  <c r="AI85" i="6"/>
  <c r="AJ85" i="6"/>
  <c r="AF86" i="6"/>
  <c r="AG86" i="6"/>
  <c r="AH86" i="6"/>
  <c r="AI86" i="6"/>
  <c r="AJ86" i="6"/>
  <c r="AF87" i="6"/>
  <c r="AG87" i="6"/>
  <c r="AH87" i="6"/>
  <c r="AI87" i="6"/>
  <c r="AJ87" i="6"/>
  <c r="AF88" i="6"/>
  <c r="AG88" i="6"/>
  <c r="AH88" i="6"/>
  <c r="AI88" i="6"/>
  <c r="AJ88" i="6"/>
  <c r="AF89" i="6"/>
  <c r="AG89" i="6"/>
  <c r="AH89" i="6"/>
  <c r="AI89" i="6"/>
  <c r="AJ89" i="6"/>
  <c r="AF90" i="6"/>
  <c r="AG90" i="6"/>
  <c r="AH90" i="6"/>
  <c r="AI90" i="6"/>
  <c r="AJ90" i="6"/>
  <c r="AF91" i="6"/>
  <c r="AG91" i="6"/>
  <c r="AH91" i="6"/>
  <c r="AI91" i="6"/>
  <c r="AJ91" i="6"/>
  <c r="AF92" i="6"/>
  <c r="AG92" i="6"/>
  <c r="AH92" i="6"/>
  <c r="AI92" i="6"/>
  <c r="AJ92" i="6"/>
  <c r="AF93" i="6"/>
  <c r="AG93" i="6"/>
  <c r="AH93" i="6"/>
  <c r="AI93" i="6"/>
  <c r="AJ93" i="6"/>
  <c r="AF94" i="6"/>
  <c r="AG94" i="6"/>
  <c r="AH94" i="6"/>
  <c r="AI94" i="6"/>
  <c r="AJ94" i="6"/>
  <c r="AF95" i="6"/>
  <c r="AG95" i="6"/>
  <c r="AH95" i="6"/>
  <c r="AI95" i="6"/>
  <c r="AJ95" i="6"/>
  <c r="AF96" i="6"/>
  <c r="AG96" i="6"/>
  <c r="AH96" i="6"/>
  <c r="AI96" i="6"/>
  <c r="AJ96" i="6"/>
  <c r="AF97" i="6"/>
  <c r="AG97" i="6"/>
  <c r="AH97" i="6"/>
  <c r="AI97" i="6"/>
  <c r="AJ97" i="6"/>
  <c r="AF98" i="6"/>
  <c r="AG98" i="6"/>
  <c r="AH98" i="6"/>
  <c r="AI98" i="6"/>
  <c r="AJ98" i="6"/>
  <c r="AF99" i="6"/>
  <c r="AG99" i="6"/>
  <c r="AH99" i="6"/>
  <c r="AI99" i="6"/>
  <c r="AJ99" i="6"/>
  <c r="AF100" i="6"/>
  <c r="AG100" i="6"/>
  <c r="AH100" i="6"/>
  <c r="AI100" i="6"/>
  <c r="AJ100" i="6"/>
  <c r="AF101" i="6"/>
  <c r="AG101" i="6"/>
  <c r="AH101" i="6"/>
  <c r="AI101" i="6"/>
  <c r="AJ101" i="6"/>
  <c r="AF102" i="6"/>
  <c r="AG102" i="6"/>
  <c r="AH102" i="6"/>
  <c r="AI102" i="6"/>
  <c r="AJ102" i="6"/>
  <c r="AF103" i="6"/>
  <c r="AG103" i="6"/>
  <c r="AH103" i="6"/>
  <c r="AI103" i="6"/>
  <c r="AJ103" i="6"/>
  <c r="AF104" i="6"/>
  <c r="AG104" i="6"/>
  <c r="AH104" i="6"/>
  <c r="AI104" i="6"/>
  <c r="AJ104" i="6"/>
  <c r="AF105" i="6"/>
  <c r="AG105" i="6"/>
  <c r="AH105" i="6"/>
  <c r="AI105" i="6"/>
  <c r="AJ105" i="6"/>
  <c r="AF106" i="6"/>
  <c r="AG106" i="6"/>
  <c r="AH106" i="6"/>
  <c r="AI106" i="6"/>
  <c r="AJ106" i="6"/>
  <c r="AF107" i="6"/>
  <c r="AG107" i="6"/>
  <c r="AH107" i="6"/>
  <c r="AI107" i="6"/>
  <c r="AJ107" i="6"/>
  <c r="AF108" i="6"/>
  <c r="AG108" i="6"/>
  <c r="AH108" i="6"/>
  <c r="AI108" i="6"/>
  <c r="AJ108" i="6"/>
  <c r="AF109" i="6"/>
  <c r="AG109" i="6"/>
  <c r="AH109" i="6"/>
  <c r="AI109" i="6"/>
  <c r="AJ109" i="6"/>
  <c r="AF110" i="6"/>
  <c r="AG110" i="6"/>
  <c r="AH110" i="6"/>
  <c r="AI110" i="6"/>
  <c r="AJ110" i="6"/>
  <c r="AF111" i="6"/>
  <c r="AG111" i="6"/>
  <c r="AF112" i="6"/>
  <c r="AG112" i="6"/>
  <c r="AH112" i="6"/>
  <c r="AI112" i="6"/>
  <c r="AJ112" i="6"/>
  <c r="AF113" i="6"/>
  <c r="AG113" i="6"/>
  <c r="AH113" i="6"/>
  <c r="AI113" i="6"/>
  <c r="AJ113" i="6"/>
  <c r="AF114" i="6"/>
  <c r="AG114" i="6"/>
  <c r="AH114" i="6"/>
  <c r="AI114" i="6"/>
  <c r="AJ114" i="6"/>
  <c r="AF115" i="6"/>
  <c r="AG115" i="6"/>
  <c r="AH115" i="6"/>
  <c r="AI115" i="6"/>
  <c r="AJ115" i="6"/>
  <c r="AF116" i="6"/>
  <c r="AG116" i="6"/>
  <c r="AF117" i="6"/>
  <c r="AG117" i="6"/>
  <c r="AH117" i="6"/>
  <c r="AI117" i="6"/>
  <c r="AJ117" i="6"/>
  <c r="AF118" i="6"/>
  <c r="AG118" i="6"/>
  <c r="AH118" i="6"/>
  <c r="AI118" i="6"/>
  <c r="AJ118" i="6"/>
  <c r="AF119" i="6"/>
  <c r="AG119" i="6"/>
  <c r="AH119" i="6"/>
  <c r="AI119" i="6"/>
  <c r="AJ119" i="6"/>
  <c r="AF120" i="6"/>
  <c r="AG120" i="6"/>
  <c r="AH120" i="6"/>
  <c r="AI120" i="6"/>
  <c r="AJ120" i="6"/>
  <c r="AF121" i="6"/>
  <c r="AF122" i="6"/>
  <c r="AF123" i="6"/>
  <c r="AG123" i="6"/>
  <c r="AF124" i="6"/>
  <c r="AG124" i="6"/>
  <c r="AH124" i="6"/>
  <c r="AI124" i="6"/>
  <c r="AJ124" i="6"/>
  <c r="AF125" i="6"/>
  <c r="AF126" i="6"/>
  <c r="AF127" i="6"/>
  <c r="AF128" i="6"/>
  <c r="AG128" i="6"/>
  <c r="AF129" i="6"/>
  <c r="AG129" i="6"/>
  <c r="AF130" i="6"/>
  <c r="AG130" i="6"/>
  <c r="AH130" i="6"/>
  <c r="AI130" i="6"/>
  <c r="AJ130" i="6"/>
  <c r="AF131" i="6"/>
  <c r="AG131" i="6"/>
  <c r="AH131" i="6"/>
  <c r="AI131" i="6"/>
  <c r="AJ131" i="6"/>
  <c r="AF132" i="6"/>
  <c r="AF133" i="6"/>
  <c r="AG133" i="6"/>
  <c r="AH133" i="6"/>
  <c r="AI133" i="6"/>
  <c r="AJ133" i="6"/>
  <c r="AF134" i="6"/>
  <c r="AG134" i="6"/>
  <c r="AH134" i="6"/>
  <c r="AI134" i="6"/>
  <c r="AJ134" i="6"/>
  <c r="AF135" i="6"/>
  <c r="AG135" i="6"/>
  <c r="AH135" i="6"/>
  <c r="AI135" i="6"/>
  <c r="AJ135" i="6"/>
  <c r="AF136" i="6"/>
  <c r="AG136" i="6"/>
  <c r="AH136" i="6"/>
  <c r="AI136" i="6"/>
  <c r="AJ136" i="6"/>
  <c r="AF137" i="6"/>
  <c r="AG137" i="6"/>
  <c r="AH137" i="6"/>
  <c r="AI137" i="6"/>
  <c r="AJ137" i="6"/>
  <c r="AF138" i="6"/>
  <c r="AF139" i="6"/>
  <c r="AG139" i="6"/>
  <c r="AH139" i="6"/>
  <c r="AI139" i="6"/>
  <c r="AJ139" i="6"/>
  <c r="AF140" i="6"/>
  <c r="AG140" i="6"/>
  <c r="AH140" i="6"/>
  <c r="AI140" i="6"/>
  <c r="AJ140" i="6"/>
  <c r="AF141" i="6"/>
  <c r="AF142" i="6"/>
  <c r="AG142" i="6"/>
  <c r="AH142" i="6"/>
  <c r="AI142" i="6"/>
  <c r="AJ142" i="6"/>
  <c r="AF143" i="6"/>
  <c r="AG143" i="6"/>
  <c r="AH143" i="6"/>
  <c r="AI143" i="6"/>
  <c r="AJ143" i="6"/>
  <c r="AF144" i="6"/>
  <c r="AF145" i="6"/>
  <c r="AF146" i="6"/>
  <c r="AF147" i="6"/>
  <c r="AG147" i="6"/>
  <c r="AH147" i="6"/>
  <c r="AI147" i="6"/>
  <c r="AJ147" i="6"/>
  <c r="AF148" i="6"/>
  <c r="AF149" i="6"/>
  <c r="AF150" i="6"/>
  <c r="AG150" i="6"/>
  <c r="AH150" i="6"/>
  <c r="AI150" i="6"/>
  <c r="AJ150" i="6"/>
  <c r="AF151" i="6"/>
  <c r="AG151" i="6"/>
  <c r="AH151" i="6"/>
  <c r="AI151" i="6"/>
  <c r="AJ151" i="6"/>
  <c r="AF152" i="6"/>
  <c r="AG152" i="6"/>
  <c r="AH152" i="6"/>
  <c r="AI152" i="6"/>
  <c r="AF153" i="6"/>
  <c r="AF154" i="6"/>
  <c r="AG154" i="6"/>
  <c r="AH154" i="6"/>
  <c r="AI154" i="6"/>
  <c r="AF155" i="6"/>
  <c r="AG155" i="6"/>
  <c r="AH155" i="6"/>
  <c r="AI155" i="6"/>
  <c r="AJ155" i="6"/>
  <c r="AF156" i="6"/>
  <c r="AF157" i="6"/>
  <c r="AF158" i="6"/>
  <c r="AG158" i="6"/>
  <c r="AH158" i="6"/>
  <c r="AI158" i="6"/>
  <c r="AJ158" i="6"/>
  <c r="AF159" i="6"/>
  <c r="AF160" i="6"/>
  <c r="AG160" i="6"/>
  <c r="AH160" i="6"/>
  <c r="AI160" i="6"/>
  <c r="AJ160" i="6"/>
  <c r="AF161" i="6"/>
  <c r="AG161" i="6"/>
  <c r="AH161" i="6"/>
  <c r="AI161" i="6"/>
  <c r="AJ161" i="6"/>
  <c r="AF162" i="6"/>
  <c r="AG162" i="6"/>
  <c r="AH162" i="6"/>
  <c r="AI162" i="6"/>
  <c r="AF163" i="6"/>
  <c r="AG163" i="6"/>
  <c r="AH163" i="6"/>
  <c r="AI163" i="6"/>
  <c r="AJ163" i="6"/>
  <c r="AF164" i="6"/>
  <c r="AF165" i="6"/>
  <c r="AG165" i="6"/>
  <c r="AH165" i="6"/>
  <c r="AI165" i="6"/>
  <c r="AJ165" i="6"/>
  <c r="AF166" i="6"/>
  <c r="AG166" i="6"/>
  <c r="AH166" i="6"/>
  <c r="AI166" i="6"/>
  <c r="AF167" i="6"/>
  <c r="AG167" i="6"/>
  <c r="AH167" i="6"/>
  <c r="AF168" i="6"/>
  <c r="AF169" i="6"/>
  <c r="AG169" i="6"/>
  <c r="AH169" i="6"/>
  <c r="AI169" i="6"/>
  <c r="AJ169" i="6"/>
  <c r="AF170" i="6"/>
  <c r="AF171" i="6"/>
  <c r="AF172" i="6"/>
  <c r="AG172" i="6"/>
  <c r="AH172" i="6"/>
  <c r="AI172" i="6"/>
  <c r="AJ172" i="6"/>
  <c r="AF173" i="6"/>
  <c r="AG173" i="6"/>
  <c r="AH173" i="6"/>
  <c r="AI173" i="6"/>
  <c r="AJ173" i="6"/>
  <c r="AF174" i="6"/>
  <c r="AG174" i="6"/>
  <c r="AH174" i="6"/>
  <c r="AI174" i="6"/>
  <c r="AF175" i="6"/>
  <c r="AG175" i="6"/>
  <c r="AH175" i="6"/>
  <c r="AI175" i="6"/>
  <c r="AF176" i="6"/>
  <c r="AG176" i="6"/>
  <c r="AH176" i="6"/>
  <c r="AI176" i="6"/>
  <c r="AF177" i="6"/>
  <c r="AG177" i="6"/>
  <c r="AH177" i="6"/>
  <c r="AI177" i="6"/>
  <c r="AF178" i="6"/>
  <c r="AF179" i="6"/>
  <c r="AG179" i="6"/>
  <c r="AH179" i="6"/>
  <c r="AI179" i="6"/>
  <c r="AJ179" i="6"/>
  <c r="AF180" i="6"/>
  <c r="AG180" i="6"/>
  <c r="AH180" i="6"/>
  <c r="AI180" i="6"/>
  <c r="AJ180" i="6"/>
  <c r="AF181" i="6"/>
  <c r="AG181" i="6"/>
  <c r="AH181" i="6"/>
  <c r="AI181" i="6"/>
  <c r="AJ181" i="6"/>
  <c r="AF182" i="6"/>
  <c r="AG182" i="6"/>
  <c r="AH182" i="6"/>
  <c r="AI182" i="6"/>
  <c r="AF183" i="6"/>
  <c r="AG183" i="6"/>
  <c r="AH183" i="6"/>
  <c r="AI183" i="6"/>
  <c r="AF184" i="6"/>
  <c r="AG184" i="6"/>
  <c r="AH184" i="6"/>
  <c r="AI184" i="6"/>
  <c r="AF185" i="6"/>
  <c r="AF186" i="6"/>
  <c r="AG186" i="6"/>
  <c r="AH186" i="6"/>
  <c r="AI186" i="6"/>
  <c r="AJ186" i="6"/>
  <c r="AF187" i="6"/>
  <c r="AG187" i="6"/>
  <c r="AH187" i="6"/>
  <c r="AF188" i="6"/>
  <c r="AG188" i="6"/>
  <c r="AH188" i="6"/>
  <c r="AI188" i="6"/>
  <c r="AJ188" i="6"/>
  <c r="AF189" i="6"/>
  <c r="AG189" i="6"/>
  <c r="AH189" i="6"/>
  <c r="AI189" i="6"/>
  <c r="AJ189" i="6"/>
  <c r="AF190" i="6"/>
  <c r="AG190" i="6"/>
  <c r="AH190" i="6"/>
  <c r="AI190" i="6"/>
  <c r="AJ190" i="6"/>
  <c r="AF191" i="6"/>
  <c r="AG191" i="6"/>
  <c r="AH191" i="6"/>
  <c r="AI191" i="6"/>
  <c r="AJ191" i="6"/>
  <c r="AF192" i="6"/>
  <c r="AG192" i="6"/>
  <c r="AH192" i="6"/>
  <c r="AI192" i="6"/>
  <c r="AJ192" i="6"/>
  <c r="AF193" i="6"/>
  <c r="AF194" i="6"/>
  <c r="AF195" i="6"/>
  <c r="AG195" i="6"/>
  <c r="AH195" i="6"/>
  <c r="AI195" i="6"/>
  <c r="AJ195" i="6"/>
  <c r="AF196" i="6"/>
  <c r="AG196" i="6"/>
  <c r="AH196" i="6"/>
  <c r="AI196" i="6"/>
  <c r="AJ196" i="6"/>
  <c r="AF197" i="6"/>
  <c r="AG197" i="6"/>
  <c r="AH197" i="6"/>
  <c r="AI197" i="6"/>
  <c r="AF198" i="6"/>
  <c r="AG198" i="6"/>
  <c r="AH198" i="6"/>
  <c r="AI198" i="6"/>
  <c r="AJ198" i="6"/>
  <c r="AF199" i="6"/>
  <c r="AG199" i="6"/>
  <c r="AH199" i="6"/>
  <c r="AI199" i="6"/>
  <c r="AF200" i="6"/>
  <c r="AG200" i="6"/>
  <c r="AH200" i="6"/>
  <c r="AI200" i="6"/>
  <c r="AF201" i="6"/>
  <c r="AG201" i="6"/>
  <c r="AH201" i="6"/>
  <c r="AI201" i="6"/>
  <c r="AJ201" i="6"/>
  <c r="AF202" i="6"/>
  <c r="AG202" i="6"/>
  <c r="AH202" i="6"/>
  <c r="AI202" i="6"/>
  <c r="AF203" i="6"/>
  <c r="AG203" i="6"/>
  <c r="AH203" i="6"/>
  <c r="AI203" i="6"/>
  <c r="AF204" i="6"/>
  <c r="AG204" i="6"/>
  <c r="AH204" i="6"/>
  <c r="AI204" i="6"/>
  <c r="AJ204" i="6"/>
  <c r="AF205" i="6"/>
  <c r="AG205" i="6"/>
  <c r="AH205" i="6"/>
  <c r="AI205" i="6"/>
  <c r="AJ205" i="6"/>
  <c r="AF206" i="6"/>
  <c r="AG206" i="6"/>
  <c r="AH206" i="6"/>
  <c r="AI206" i="6"/>
  <c r="AF207" i="6"/>
  <c r="AG207" i="6"/>
  <c r="AH207" i="6"/>
  <c r="AI207" i="6"/>
  <c r="AF208" i="6"/>
  <c r="AG208" i="6"/>
  <c r="AH208" i="6"/>
  <c r="AI208" i="6"/>
  <c r="AJ208" i="6"/>
  <c r="AF209" i="6"/>
  <c r="AF210" i="6"/>
  <c r="AG210" i="6"/>
  <c r="AH210" i="6"/>
  <c r="AI210" i="6"/>
  <c r="AJ210" i="6"/>
  <c r="AF211" i="6"/>
  <c r="AG211" i="6"/>
  <c r="AH211" i="6"/>
  <c r="AI211" i="6"/>
  <c r="AJ211" i="6"/>
  <c r="AF212" i="6"/>
  <c r="AG212" i="6"/>
  <c r="AH212" i="6"/>
  <c r="AI212" i="6"/>
  <c r="AJ212" i="6"/>
  <c r="AF213" i="6"/>
  <c r="AG213" i="6"/>
  <c r="AH213" i="6"/>
  <c r="AI213" i="6"/>
  <c r="AJ213" i="6"/>
  <c r="AF214" i="6"/>
  <c r="AF215" i="6"/>
  <c r="AG215" i="6"/>
  <c r="AH215" i="6"/>
  <c r="AI215" i="6"/>
  <c r="AJ215" i="6"/>
  <c r="AF216" i="6"/>
  <c r="AF217" i="6"/>
  <c r="AG217" i="6"/>
  <c r="AH217" i="6"/>
  <c r="AI217" i="6"/>
  <c r="AJ217" i="6"/>
  <c r="AF218" i="6"/>
  <c r="AF219" i="6"/>
  <c r="AJ21" i="6"/>
  <c r="AI21" i="6"/>
  <c r="AH21" i="6"/>
  <c r="AG21" i="6"/>
  <c r="AF21" i="6"/>
  <c r="AF3" i="6"/>
  <c r="AI3" i="6"/>
  <c r="AF4" i="6"/>
  <c r="AG4" i="6"/>
  <c r="AH4" i="6"/>
  <c r="AI4" i="6"/>
  <c r="AJ4" i="6"/>
  <c r="AF5" i="6"/>
  <c r="AG5" i="6"/>
  <c r="AH5" i="6"/>
  <c r="AI5" i="6"/>
  <c r="AJ5" i="6"/>
  <c r="AF6" i="6"/>
  <c r="AG6" i="6"/>
  <c r="AH6" i="6"/>
  <c r="AI6" i="6"/>
  <c r="AJ6" i="6"/>
  <c r="AF7" i="6"/>
  <c r="AG7" i="6"/>
  <c r="AH7" i="6"/>
  <c r="AI7" i="6"/>
  <c r="AJ7" i="6"/>
  <c r="AF8" i="6"/>
  <c r="AG8" i="6"/>
  <c r="AH8" i="6"/>
  <c r="AI8" i="6"/>
  <c r="AJ8" i="6"/>
  <c r="AF9" i="6"/>
  <c r="AG9" i="6"/>
  <c r="AH9" i="6"/>
  <c r="AI9" i="6"/>
  <c r="AJ9" i="6"/>
  <c r="AF10" i="6"/>
  <c r="AG10" i="6"/>
  <c r="AH10" i="6"/>
  <c r="AI10" i="6"/>
  <c r="AJ10" i="6"/>
  <c r="AF11" i="6"/>
  <c r="AG11" i="6"/>
  <c r="AH11" i="6"/>
  <c r="AI11" i="6"/>
  <c r="AJ11" i="6"/>
  <c r="AF12" i="6"/>
  <c r="AG12" i="6"/>
  <c r="AH12" i="6"/>
  <c r="AI12" i="6"/>
  <c r="AJ12" i="6"/>
  <c r="AF13" i="6"/>
  <c r="AG13" i="6"/>
  <c r="AH13" i="6"/>
  <c r="AI13" i="6"/>
  <c r="AJ13" i="6"/>
  <c r="AF14" i="6"/>
  <c r="AG14" i="6"/>
  <c r="AH14" i="6"/>
  <c r="AI14" i="6"/>
  <c r="AJ14" i="6"/>
  <c r="AF15" i="6"/>
  <c r="AG15" i="6"/>
  <c r="AH15" i="6"/>
  <c r="AI15" i="6"/>
  <c r="AJ15" i="6"/>
  <c r="AF16" i="6"/>
  <c r="AG16" i="6"/>
  <c r="AH16" i="6"/>
  <c r="AI16" i="6"/>
  <c r="AJ16" i="6"/>
  <c r="AF17" i="6"/>
  <c r="AJ2" i="6"/>
  <c r="AI2" i="6"/>
  <c r="AH2" i="6"/>
  <c r="AG2" i="6"/>
  <c r="AF2" i="6"/>
  <c r="AQ140" i="5"/>
  <c r="AP135" i="5"/>
  <c r="AR127" i="5"/>
  <c r="AS127" i="5"/>
  <c r="AT127" i="5"/>
  <c r="AU127" i="5"/>
  <c r="AR126" i="5"/>
  <c r="AS126" i="5"/>
  <c r="AT126" i="5"/>
  <c r="AU126" i="5"/>
  <c r="AT77" i="5"/>
  <c r="AT123" i="5"/>
  <c r="AP123" i="5"/>
  <c r="AV123" i="5" s="1"/>
  <c r="AJ123" i="6" s="1"/>
  <c r="AQ123" i="5"/>
  <c r="AP120" i="5"/>
  <c r="AP119" i="5"/>
  <c r="AR111" i="5"/>
  <c r="AQ111" i="5"/>
  <c r="AS111" i="5"/>
  <c r="AT111" i="5"/>
  <c r="AU111" i="5"/>
  <c r="AQ110" i="5"/>
  <c r="AR110" i="5"/>
  <c r="AS110" i="5"/>
  <c r="AT110" i="5"/>
  <c r="AU110" i="5"/>
  <c r="AP110" i="5"/>
  <c r="AQ104" i="5"/>
  <c r="AR102" i="5"/>
  <c r="AP101" i="5"/>
  <c r="AP99" i="5"/>
  <c r="AP98" i="5"/>
  <c r="AP94" i="5"/>
  <c r="AP93" i="5"/>
  <c r="AR181" i="5"/>
  <c r="AR180" i="5"/>
  <c r="AR80" i="5"/>
  <c r="AQ74" i="5"/>
  <c r="AP71" i="5"/>
  <c r="AV71" i="5" s="1"/>
  <c r="AJ71" i="6" s="1"/>
  <c r="AP70" i="5"/>
  <c r="AP69" i="5"/>
  <c r="AP8" i="5"/>
  <c r="AP9" i="5"/>
  <c r="AH206" i="5"/>
  <c r="AH205" i="5"/>
  <c r="AH203" i="5"/>
  <c r="AH202" i="5"/>
  <c r="AH201" i="5"/>
  <c r="AH200" i="5"/>
  <c r="AH199" i="5"/>
  <c r="AH197" i="5"/>
  <c r="AH185" i="2"/>
  <c r="AH185" i="14"/>
  <c r="AH185" i="15"/>
  <c r="AH185" i="4"/>
  <c r="AH185" i="5"/>
  <c r="AH184" i="5"/>
  <c r="AH183" i="5"/>
  <c r="AH182" i="5"/>
  <c r="AH179" i="5"/>
  <c r="AH178" i="5"/>
  <c r="AH177" i="5"/>
  <c r="AH176" i="5"/>
  <c r="AH175" i="5"/>
  <c r="AH174" i="5"/>
  <c r="AH168" i="5"/>
  <c r="AH167" i="5"/>
  <c r="BN167" i="5" s="1"/>
  <c r="BT167" i="5" s="1"/>
  <c r="AH166" i="5"/>
  <c r="AH165" i="5"/>
  <c r="AH164" i="5"/>
  <c r="AH162" i="5"/>
  <c r="AH154" i="5"/>
  <c r="AI154" i="5"/>
  <c r="AI153" i="5"/>
  <c r="AH152" i="5"/>
  <c r="AH148" i="5"/>
  <c r="AH146" i="5"/>
  <c r="AH145" i="5"/>
  <c r="AH144" i="5"/>
  <c r="AI140" i="5"/>
  <c r="AH138" i="5"/>
  <c r="AH135" i="5"/>
  <c r="AI127" i="5"/>
  <c r="AJ127" i="5"/>
  <c r="AK127" i="5"/>
  <c r="AL127" i="5"/>
  <c r="AM127" i="5"/>
  <c r="AI126" i="5"/>
  <c r="AJ126" i="5"/>
  <c r="AK126" i="5"/>
  <c r="AL126" i="5"/>
  <c r="AM126" i="5"/>
  <c r="AH124" i="5"/>
  <c r="AH123" i="5"/>
  <c r="AI123" i="5"/>
  <c r="AI122" i="5"/>
  <c r="AH121" i="5"/>
  <c r="AH119" i="5"/>
  <c r="AJ111" i="5"/>
  <c r="AI111" i="5"/>
  <c r="AK111" i="5"/>
  <c r="AL111" i="5"/>
  <c r="AM111" i="5"/>
  <c r="AI110" i="5"/>
  <c r="AJ110" i="5"/>
  <c r="AK110" i="5"/>
  <c r="AL110" i="5"/>
  <c r="AM110" i="5"/>
  <c r="AH108" i="5"/>
  <c r="AH107" i="5"/>
  <c r="AI106" i="5"/>
  <c r="AH103" i="5"/>
  <c r="AJ102" i="5"/>
  <c r="AH101" i="5"/>
  <c r="AH100" i="5"/>
  <c r="AH99" i="5"/>
  <c r="AH98" i="5"/>
  <c r="AH97" i="5"/>
  <c r="AH95" i="5"/>
  <c r="AH94" i="5"/>
  <c r="AH93" i="5"/>
  <c r="AJ181" i="5"/>
  <c r="AI74" i="5"/>
  <c r="AJ81" i="5"/>
  <c r="AH71" i="5"/>
  <c r="AH70" i="5"/>
  <c r="AH69" i="5"/>
  <c r="Z22" i="6"/>
  <c r="AA22" i="6"/>
  <c r="AB22" i="6"/>
  <c r="AC22" i="6"/>
  <c r="AD22" i="6"/>
  <c r="Z23" i="6"/>
  <c r="AA23" i="6"/>
  <c r="AB23" i="6"/>
  <c r="AC23" i="6"/>
  <c r="AD23" i="6"/>
  <c r="Z24" i="6"/>
  <c r="AA24" i="6"/>
  <c r="AB24" i="6"/>
  <c r="AC24" i="6"/>
  <c r="AD24" i="6"/>
  <c r="Z25" i="6"/>
  <c r="AA25" i="6"/>
  <c r="AB25" i="6"/>
  <c r="AC25" i="6"/>
  <c r="AD25" i="6"/>
  <c r="Z26" i="6"/>
  <c r="AA26" i="6"/>
  <c r="AB26" i="6"/>
  <c r="AC26" i="6"/>
  <c r="AD26" i="6"/>
  <c r="Z27" i="6"/>
  <c r="AA27" i="6"/>
  <c r="AB27" i="6"/>
  <c r="AC27" i="6"/>
  <c r="AD27" i="6"/>
  <c r="Z28" i="6"/>
  <c r="AA28" i="6"/>
  <c r="AB28" i="6"/>
  <c r="AC28" i="6"/>
  <c r="AD28" i="6"/>
  <c r="Z29" i="6"/>
  <c r="AA29" i="6"/>
  <c r="AB29" i="6"/>
  <c r="AC29" i="6"/>
  <c r="AD29" i="6"/>
  <c r="Z30" i="6"/>
  <c r="AA30" i="6"/>
  <c r="AB30" i="6"/>
  <c r="AC30" i="6"/>
  <c r="AD30" i="6"/>
  <c r="Z31" i="6"/>
  <c r="AA31" i="6"/>
  <c r="AB31" i="6"/>
  <c r="AC31" i="6"/>
  <c r="AD31" i="6"/>
  <c r="Z32" i="6"/>
  <c r="AA32" i="6"/>
  <c r="AB32" i="6"/>
  <c r="AC32" i="6"/>
  <c r="AD32" i="6"/>
  <c r="Z33" i="6"/>
  <c r="AA33" i="6"/>
  <c r="AB33" i="6"/>
  <c r="AC33" i="6"/>
  <c r="AD33" i="6"/>
  <c r="Z34" i="6"/>
  <c r="AA34" i="6"/>
  <c r="AB34" i="6"/>
  <c r="AC34" i="6"/>
  <c r="AD34" i="6"/>
  <c r="Z35" i="6"/>
  <c r="AA35" i="6"/>
  <c r="AB35" i="6"/>
  <c r="AC35" i="6"/>
  <c r="AD35" i="6"/>
  <c r="Z36" i="6"/>
  <c r="AA36" i="6"/>
  <c r="AB36" i="6"/>
  <c r="AC36" i="6"/>
  <c r="AD36" i="6"/>
  <c r="Z37" i="6"/>
  <c r="AA37" i="6"/>
  <c r="AB37" i="6"/>
  <c r="AC37" i="6"/>
  <c r="AD37" i="6"/>
  <c r="Z38" i="6"/>
  <c r="AA38" i="6"/>
  <c r="AB38" i="6"/>
  <c r="AC38" i="6"/>
  <c r="AD38" i="6"/>
  <c r="Z39" i="6"/>
  <c r="AA39" i="6"/>
  <c r="AB39" i="6"/>
  <c r="AC39" i="6"/>
  <c r="AD39" i="6"/>
  <c r="Z40" i="6"/>
  <c r="AA40" i="6"/>
  <c r="AB40" i="6"/>
  <c r="AC40" i="6"/>
  <c r="AD40" i="6"/>
  <c r="Z41" i="6"/>
  <c r="AA41" i="6"/>
  <c r="AB41" i="6"/>
  <c r="AC41" i="6"/>
  <c r="AD41" i="6"/>
  <c r="Z42" i="6"/>
  <c r="AA42" i="6"/>
  <c r="AB42" i="6"/>
  <c r="AC42" i="6"/>
  <c r="AD42" i="6"/>
  <c r="Z43" i="6"/>
  <c r="AA43" i="6"/>
  <c r="AB43" i="6"/>
  <c r="AC43" i="6"/>
  <c r="AD43" i="6"/>
  <c r="Z44" i="6"/>
  <c r="AA44" i="6"/>
  <c r="AB44" i="6"/>
  <c r="AC44" i="6"/>
  <c r="AD44" i="6"/>
  <c r="Z45" i="6"/>
  <c r="AA45" i="6"/>
  <c r="AB45" i="6"/>
  <c r="AC45" i="6"/>
  <c r="AD45" i="6"/>
  <c r="Z46" i="6"/>
  <c r="AA46" i="6"/>
  <c r="AB46" i="6"/>
  <c r="AC46" i="6"/>
  <c r="AD46" i="6"/>
  <c r="Z47" i="6"/>
  <c r="AA47" i="6"/>
  <c r="AB47" i="6"/>
  <c r="AC47" i="6"/>
  <c r="AD47" i="6"/>
  <c r="Z48" i="6"/>
  <c r="AA48" i="6"/>
  <c r="AB48" i="6"/>
  <c r="AC48" i="6"/>
  <c r="AD48" i="6"/>
  <c r="Z49" i="6"/>
  <c r="AA49" i="6"/>
  <c r="AB49" i="6"/>
  <c r="AC49" i="6"/>
  <c r="Z50" i="6"/>
  <c r="AA50" i="6"/>
  <c r="AB50" i="6"/>
  <c r="AC50" i="6"/>
  <c r="Z51" i="6"/>
  <c r="AA51" i="6"/>
  <c r="AB51" i="6"/>
  <c r="AC51" i="6"/>
  <c r="AD51" i="6"/>
  <c r="Z52" i="6"/>
  <c r="AA52" i="6"/>
  <c r="AB52" i="6"/>
  <c r="AC52" i="6"/>
  <c r="AD52" i="6"/>
  <c r="Z53" i="6"/>
  <c r="AA53" i="6"/>
  <c r="AB53" i="6"/>
  <c r="AC53" i="6"/>
  <c r="AD53" i="6"/>
  <c r="Z54" i="6"/>
  <c r="AA54" i="6"/>
  <c r="AB54" i="6"/>
  <c r="AC54" i="6"/>
  <c r="AD54" i="6"/>
  <c r="Z55" i="6"/>
  <c r="AA55" i="6"/>
  <c r="AB55" i="6"/>
  <c r="AC55" i="6"/>
  <c r="AD55" i="6"/>
  <c r="Z56" i="6"/>
  <c r="AA56" i="6"/>
  <c r="AB56" i="6"/>
  <c r="AC56" i="6"/>
  <c r="AD56" i="6"/>
  <c r="Z57" i="6"/>
  <c r="AA57" i="6"/>
  <c r="AB57" i="6"/>
  <c r="AC57" i="6"/>
  <c r="AD57" i="6"/>
  <c r="Z58" i="6"/>
  <c r="AA58" i="6"/>
  <c r="AB58" i="6"/>
  <c r="AC58" i="6"/>
  <c r="AD58" i="6"/>
  <c r="Z59" i="6"/>
  <c r="AA59" i="6"/>
  <c r="AB59" i="6"/>
  <c r="AC59" i="6"/>
  <c r="AD59" i="6"/>
  <c r="Z60" i="6"/>
  <c r="AA60" i="6"/>
  <c r="AB60" i="6"/>
  <c r="AC60" i="6"/>
  <c r="AD60" i="6"/>
  <c r="Z61" i="6"/>
  <c r="AA61" i="6"/>
  <c r="AB61" i="6"/>
  <c r="AC61" i="6"/>
  <c r="Z62" i="6"/>
  <c r="AA62" i="6"/>
  <c r="AB62" i="6"/>
  <c r="AC62" i="6"/>
  <c r="AD62" i="6"/>
  <c r="Z63" i="6"/>
  <c r="AA63" i="6"/>
  <c r="AB63" i="6"/>
  <c r="AC63" i="6"/>
  <c r="AD63" i="6"/>
  <c r="Z64" i="6"/>
  <c r="AA64" i="6"/>
  <c r="AB64" i="6"/>
  <c r="AC64" i="6"/>
  <c r="Z65" i="6"/>
  <c r="AA65" i="6"/>
  <c r="AB65" i="6"/>
  <c r="AC65" i="6"/>
  <c r="Z66" i="6"/>
  <c r="AA66" i="6"/>
  <c r="AB66" i="6"/>
  <c r="AC66" i="6"/>
  <c r="AD66" i="6"/>
  <c r="Z67" i="6"/>
  <c r="AA67" i="6"/>
  <c r="AB67" i="6"/>
  <c r="AC67" i="6"/>
  <c r="AD67" i="6"/>
  <c r="Z68" i="6"/>
  <c r="AA68" i="6"/>
  <c r="AB68" i="6"/>
  <c r="AC68" i="6"/>
  <c r="AD68" i="6"/>
  <c r="Z69" i="6"/>
  <c r="AA69" i="6"/>
  <c r="AB69" i="6"/>
  <c r="AC69" i="6"/>
  <c r="Z70" i="6"/>
  <c r="AA70" i="6"/>
  <c r="AB70" i="6"/>
  <c r="AC70" i="6"/>
  <c r="AD70" i="6"/>
  <c r="Z71" i="6"/>
  <c r="AA71" i="6"/>
  <c r="AB71" i="6"/>
  <c r="AC71" i="6"/>
  <c r="AD71" i="6"/>
  <c r="Z72" i="6"/>
  <c r="AA72" i="6"/>
  <c r="AB72" i="6"/>
  <c r="AC72" i="6"/>
  <c r="AD72" i="6"/>
  <c r="Z73" i="6"/>
  <c r="AA73" i="6"/>
  <c r="AD73" i="6"/>
  <c r="Z74" i="6"/>
  <c r="AA74" i="6"/>
  <c r="AB74" i="6"/>
  <c r="AC74" i="6"/>
  <c r="Z75" i="6"/>
  <c r="AA75" i="6"/>
  <c r="AB75" i="6"/>
  <c r="AC75" i="6"/>
  <c r="AD75" i="6"/>
  <c r="AA76" i="6"/>
  <c r="AB76" i="6"/>
  <c r="AC76" i="6"/>
  <c r="AD76" i="6"/>
  <c r="Z77" i="6"/>
  <c r="AA77" i="6"/>
  <c r="AB77" i="6"/>
  <c r="AC77" i="6"/>
  <c r="AD77" i="6"/>
  <c r="Z78" i="6"/>
  <c r="AA78" i="6"/>
  <c r="AB78" i="6"/>
  <c r="AC78" i="6"/>
  <c r="AD78" i="6"/>
  <c r="Z79" i="6"/>
  <c r="AA79" i="6"/>
  <c r="AB79" i="6"/>
  <c r="AC79" i="6"/>
  <c r="AD79" i="6"/>
  <c r="Z80" i="6"/>
  <c r="AA80" i="6"/>
  <c r="AB80" i="6"/>
  <c r="AC80" i="6"/>
  <c r="AD80" i="6"/>
  <c r="Z81" i="6"/>
  <c r="AA81" i="6"/>
  <c r="AB81" i="6"/>
  <c r="AC81" i="6"/>
  <c r="AA82" i="6"/>
  <c r="Z83" i="6"/>
  <c r="AA83" i="6"/>
  <c r="AB83" i="6"/>
  <c r="AC83" i="6"/>
  <c r="AD83" i="6"/>
  <c r="Z84" i="6"/>
  <c r="AA84" i="6"/>
  <c r="AB84" i="6"/>
  <c r="AC84" i="6"/>
  <c r="AD84" i="6"/>
  <c r="Z85" i="6"/>
  <c r="AA85" i="6"/>
  <c r="AB85" i="6"/>
  <c r="AC85" i="6"/>
  <c r="AD85" i="6"/>
  <c r="Z86" i="6"/>
  <c r="AA86" i="6"/>
  <c r="AB86" i="6"/>
  <c r="AC86" i="6"/>
  <c r="AD86" i="6"/>
  <c r="Z87" i="6"/>
  <c r="AA87" i="6"/>
  <c r="AB87" i="6"/>
  <c r="AC87" i="6"/>
  <c r="AD87" i="6"/>
  <c r="Z88" i="6"/>
  <c r="AA88" i="6"/>
  <c r="AB88" i="6"/>
  <c r="AC88" i="6"/>
  <c r="AD88" i="6"/>
  <c r="Z89" i="6"/>
  <c r="AA89" i="6"/>
  <c r="AB89" i="6"/>
  <c r="AC89" i="6"/>
  <c r="AD89" i="6"/>
  <c r="Z90" i="6"/>
  <c r="AA90" i="6"/>
  <c r="AB90" i="6"/>
  <c r="AC90" i="6"/>
  <c r="AD90" i="6"/>
  <c r="Z91" i="6"/>
  <c r="AA91" i="6"/>
  <c r="AB91" i="6"/>
  <c r="AC91" i="6"/>
  <c r="AD91" i="6"/>
  <c r="Z92" i="6"/>
  <c r="AA92" i="6"/>
  <c r="AB92" i="6"/>
  <c r="AC92" i="6"/>
  <c r="AD92" i="6"/>
  <c r="Z93" i="6"/>
  <c r="AA93" i="6"/>
  <c r="AB93" i="6"/>
  <c r="AC93" i="6"/>
  <c r="Z94" i="6"/>
  <c r="AA94" i="6"/>
  <c r="AB94" i="6"/>
  <c r="AC94" i="6"/>
  <c r="AD94" i="6"/>
  <c r="Z95" i="6"/>
  <c r="AA95" i="6"/>
  <c r="AB95" i="6"/>
  <c r="AC95" i="6"/>
  <c r="AD95" i="6"/>
  <c r="Z96" i="6"/>
  <c r="AA96" i="6"/>
  <c r="AB96" i="6"/>
  <c r="AC96" i="6"/>
  <c r="AD96" i="6"/>
  <c r="Z97" i="6"/>
  <c r="AA97" i="6"/>
  <c r="AB97" i="6"/>
  <c r="AC97" i="6"/>
  <c r="Z98" i="6"/>
  <c r="AA98" i="6"/>
  <c r="AB98" i="6"/>
  <c r="AC98" i="6"/>
  <c r="Z99" i="6"/>
  <c r="AA99" i="6"/>
  <c r="AB99" i="6"/>
  <c r="AC99" i="6"/>
  <c r="Z100" i="6"/>
  <c r="AA100" i="6"/>
  <c r="AB100" i="6"/>
  <c r="AC100" i="6"/>
  <c r="AD100" i="6"/>
  <c r="Z101" i="6"/>
  <c r="AA101" i="6"/>
  <c r="AB101" i="6"/>
  <c r="AC101" i="6"/>
  <c r="Z102" i="6"/>
  <c r="AA102" i="6"/>
  <c r="AB102" i="6"/>
  <c r="AC102" i="6"/>
  <c r="AD102" i="6"/>
  <c r="Z103" i="6"/>
  <c r="AA103" i="6"/>
  <c r="AB103" i="6"/>
  <c r="AC103" i="6"/>
  <c r="Z104" i="6"/>
  <c r="AA104" i="6"/>
  <c r="AB104" i="6"/>
  <c r="AC104" i="6"/>
  <c r="AD104" i="6"/>
  <c r="Z105" i="6"/>
  <c r="AA105" i="6"/>
  <c r="AB105" i="6"/>
  <c r="AC105" i="6"/>
  <c r="AD105" i="6"/>
  <c r="Z106" i="6"/>
  <c r="AA106" i="6"/>
  <c r="AB106" i="6"/>
  <c r="AC106" i="6"/>
  <c r="Z107" i="6"/>
  <c r="AA107" i="6"/>
  <c r="AB107" i="6"/>
  <c r="AC107" i="6"/>
  <c r="Z108" i="6"/>
  <c r="AA108" i="6"/>
  <c r="AB108" i="6"/>
  <c r="AC108" i="6"/>
  <c r="Z109" i="6"/>
  <c r="AA109" i="6"/>
  <c r="AB109" i="6"/>
  <c r="AC109" i="6"/>
  <c r="Z110" i="6"/>
  <c r="AA110" i="6"/>
  <c r="AB110" i="6"/>
  <c r="AC110" i="6"/>
  <c r="Z111" i="6"/>
  <c r="AA111" i="6"/>
  <c r="AB111" i="6"/>
  <c r="AC111" i="6"/>
  <c r="Z112" i="6"/>
  <c r="AA112" i="6"/>
  <c r="AB112" i="6"/>
  <c r="AC112" i="6"/>
  <c r="Z113" i="6"/>
  <c r="AA113" i="6"/>
  <c r="AB113" i="6"/>
  <c r="AC113" i="6"/>
  <c r="Z114" i="6"/>
  <c r="AA114" i="6"/>
  <c r="AB114" i="6"/>
  <c r="AC114" i="6"/>
  <c r="AD114" i="6"/>
  <c r="Z115" i="6"/>
  <c r="AA115" i="6"/>
  <c r="AB115" i="6"/>
  <c r="AC115" i="6"/>
  <c r="AD115" i="6"/>
  <c r="Z116" i="6"/>
  <c r="AA116" i="6"/>
  <c r="AB116" i="6"/>
  <c r="AC116" i="6"/>
  <c r="Z117" i="6"/>
  <c r="AA117" i="6"/>
  <c r="AB117" i="6"/>
  <c r="AC117" i="6"/>
  <c r="AD117" i="6"/>
  <c r="Z118" i="6"/>
  <c r="AA118" i="6"/>
  <c r="AB118" i="6"/>
  <c r="AC118" i="6"/>
  <c r="AD118" i="6"/>
  <c r="Z119" i="6"/>
  <c r="AA119" i="6"/>
  <c r="AB119" i="6"/>
  <c r="AC119" i="6"/>
  <c r="Z120" i="6"/>
  <c r="AA120" i="6"/>
  <c r="AB120" i="6"/>
  <c r="AC120" i="6"/>
  <c r="AD120" i="6"/>
  <c r="Z121" i="6"/>
  <c r="AA121" i="6"/>
  <c r="AB121" i="6"/>
  <c r="AC121" i="6"/>
  <c r="Z122" i="6"/>
  <c r="AA122" i="6"/>
  <c r="AB122" i="6"/>
  <c r="AC122" i="6"/>
  <c r="AD122" i="6"/>
  <c r="Z123" i="6"/>
  <c r="AA123" i="6"/>
  <c r="AB123" i="6"/>
  <c r="AC123" i="6"/>
  <c r="Z124" i="6"/>
  <c r="AA124" i="6"/>
  <c r="AB124" i="6"/>
  <c r="AC124" i="6"/>
  <c r="AD124" i="6"/>
  <c r="Z125" i="6"/>
  <c r="AA125" i="6"/>
  <c r="AB125" i="6"/>
  <c r="AC125" i="6"/>
  <c r="Z126" i="6"/>
  <c r="AA126" i="6"/>
  <c r="AB126" i="6"/>
  <c r="AC126" i="6"/>
  <c r="Z127" i="6"/>
  <c r="AA127" i="6"/>
  <c r="AB127" i="6"/>
  <c r="AC127" i="6"/>
  <c r="Z128" i="6"/>
  <c r="AA128" i="6"/>
  <c r="AB128" i="6"/>
  <c r="AC128" i="6"/>
  <c r="Z129" i="6"/>
  <c r="AA129" i="6"/>
  <c r="AB129" i="6"/>
  <c r="AC129" i="6"/>
  <c r="Z130" i="6"/>
  <c r="AA130" i="6"/>
  <c r="AB130" i="6"/>
  <c r="AC130" i="6"/>
  <c r="AD130" i="6"/>
  <c r="Z131" i="6"/>
  <c r="AA131" i="6"/>
  <c r="AB131" i="6"/>
  <c r="AC131" i="6"/>
  <c r="AD131" i="6"/>
  <c r="Z132" i="6"/>
  <c r="AA132" i="6"/>
  <c r="AB132" i="6"/>
  <c r="AC132" i="6"/>
  <c r="Z133" i="6"/>
  <c r="AA133" i="6"/>
  <c r="AB133" i="6"/>
  <c r="AC133" i="6"/>
  <c r="AD133" i="6"/>
  <c r="Z134" i="6"/>
  <c r="AA134" i="6"/>
  <c r="AB134" i="6"/>
  <c r="AC134" i="6"/>
  <c r="AD134" i="6"/>
  <c r="Z135" i="6"/>
  <c r="AA135" i="6"/>
  <c r="AB135" i="6"/>
  <c r="AC135" i="6"/>
  <c r="AD135" i="6"/>
  <c r="Z136" i="6"/>
  <c r="AA136" i="6"/>
  <c r="AB136" i="6"/>
  <c r="AC136" i="6"/>
  <c r="AD136" i="6"/>
  <c r="Z137" i="6"/>
  <c r="AA137" i="6"/>
  <c r="AB137" i="6"/>
  <c r="AC137" i="6"/>
  <c r="AD137" i="6"/>
  <c r="Z138" i="6"/>
  <c r="AA138" i="6"/>
  <c r="AB138" i="6"/>
  <c r="AC138" i="6"/>
  <c r="Z139" i="6"/>
  <c r="AA139" i="6"/>
  <c r="AB139" i="6"/>
  <c r="AC139" i="6"/>
  <c r="AD139" i="6"/>
  <c r="Z140" i="6"/>
  <c r="AA140" i="6"/>
  <c r="AB140" i="6"/>
  <c r="AC140" i="6"/>
  <c r="Z141" i="6"/>
  <c r="AA141" i="6"/>
  <c r="AB141" i="6"/>
  <c r="AC141" i="6"/>
  <c r="Z142" i="6"/>
  <c r="AA142" i="6"/>
  <c r="AB142" i="6"/>
  <c r="AC142" i="6"/>
  <c r="AD142" i="6"/>
  <c r="Z143" i="6"/>
  <c r="AA143" i="6"/>
  <c r="AB143" i="6"/>
  <c r="AC143" i="6"/>
  <c r="AD143" i="6"/>
  <c r="Z144" i="6"/>
  <c r="AA144" i="6"/>
  <c r="AB144" i="6"/>
  <c r="AC144" i="6"/>
  <c r="Z145" i="6"/>
  <c r="AA145" i="6"/>
  <c r="AB145" i="6"/>
  <c r="AC145" i="6"/>
  <c r="Z146" i="6"/>
  <c r="AA146" i="6"/>
  <c r="AB146" i="6"/>
  <c r="AC146" i="6"/>
  <c r="Z147" i="6"/>
  <c r="AA147" i="6"/>
  <c r="AB147" i="6"/>
  <c r="AC147" i="6"/>
  <c r="AD147" i="6"/>
  <c r="Z148" i="6"/>
  <c r="AA148" i="6"/>
  <c r="AB148" i="6"/>
  <c r="AC148" i="6"/>
  <c r="Z149" i="6"/>
  <c r="AA149" i="6"/>
  <c r="AB149" i="6"/>
  <c r="AC149" i="6"/>
  <c r="Z150" i="6"/>
  <c r="AA150" i="6"/>
  <c r="AB150" i="6"/>
  <c r="AC150" i="6"/>
  <c r="AD150" i="6"/>
  <c r="Z151" i="6"/>
  <c r="AA151" i="6"/>
  <c r="AB151" i="6"/>
  <c r="AC151" i="6"/>
  <c r="AD151" i="6"/>
  <c r="Z152" i="6"/>
  <c r="AA152" i="6"/>
  <c r="AB152" i="6"/>
  <c r="AC152" i="6"/>
  <c r="AD152" i="6"/>
  <c r="Z153" i="6"/>
  <c r="AA153" i="6"/>
  <c r="AB153" i="6"/>
  <c r="AC153" i="6"/>
  <c r="Z154" i="6"/>
  <c r="AA154" i="6"/>
  <c r="AB154" i="6"/>
  <c r="AC154" i="6"/>
  <c r="Z155" i="6"/>
  <c r="AA155" i="6"/>
  <c r="AB155" i="6"/>
  <c r="AC155" i="6"/>
  <c r="AD155" i="6"/>
  <c r="Z156" i="6"/>
  <c r="AA156" i="6"/>
  <c r="AB156" i="6"/>
  <c r="AC156" i="6"/>
  <c r="AD156" i="6"/>
  <c r="Z157" i="6"/>
  <c r="AA157" i="6"/>
  <c r="AB157" i="6"/>
  <c r="AC157" i="6"/>
  <c r="AD157" i="6"/>
  <c r="Z158" i="6"/>
  <c r="AA158" i="6"/>
  <c r="AB158" i="6"/>
  <c r="AC158" i="6"/>
  <c r="AD158" i="6"/>
  <c r="Z159" i="6"/>
  <c r="AA159" i="6"/>
  <c r="AB159" i="6"/>
  <c r="AC159" i="6"/>
  <c r="Z160" i="6"/>
  <c r="AA160" i="6"/>
  <c r="AB160" i="6"/>
  <c r="AC160" i="6"/>
  <c r="AD160" i="6"/>
  <c r="Z161" i="6"/>
  <c r="AA161" i="6"/>
  <c r="AB161" i="6"/>
  <c r="AC161" i="6"/>
  <c r="AD161" i="6"/>
  <c r="Z162" i="6"/>
  <c r="AA162" i="6"/>
  <c r="AB162" i="6"/>
  <c r="AC162" i="6"/>
  <c r="Z163" i="6"/>
  <c r="AA163" i="6"/>
  <c r="AB163" i="6"/>
  <c r="AC163" i="6"/>
  <c r="AD163" i="6"/>
  <c r="Z164" i="6"/>
  <c r="AA164" i="6"/>
  <c r="AB164" i="6"/>
  <c r="AC164" i="6"/>
  <c r="Z165" i="6"/>
  <c r="AA165" i="6"/>
  <c r="AB165" i="6"/>
  <c r="AC165" i="6"/>
  <c r="AD165" i="6"/>
  <c r="Z166" i="6"/>
  <c r="AA166" i="6"/>
  <c r="AB166" i="6"/>
  <c r="AC166" i="6"/>
  <c r="AD166" i="6"/>
  <c r="Z167" i="6"/>
  <c r="AA167" i="6"/>
  <c r="AB167" i="6"/>
  <c r="AC167" i="6"/>
  <c r="Z168" i="6"/>
  <c r="AA168" i="6"/>
  <c r="AB168" i="6"/>
  <c r="AC168" i="6"/>
  <c r="Z169" i="6"/>
  <c r="AA169" i="6"/>
  <c r="AB169" i="6"/>
  <c r="AC169" i="6"/>
  <c r="Z170" i="6"/>
  <c r="AA170" i="6"/>
  <c r="AB170" i="6"/>
  <c r="AC170" i="6"/>
  <c r="AD170" i="6"/>
  <c r="Z171" i="6"/>
  <c r="AA171" i="6"/>
  <c r="AB171" i="6"/>
  <c r="AC171" i="6"/>
  <c r="Z172" i="6"/>
  <c r="AA172" i="6"/>
  <c r="AB172" i="6"/>
  <c r="AC172" i="6"/>
  <c r="AD172" i="6"/>
  <c r="Z173" i="6"/>
  <c r="AA173" i="6"/>
  <c r="AB173" i="6"/>
  <c r="AC173" i="6"/>
  <c r="AD173" i="6"/>
  <c r="Z174" i="6"/>
  <c r="AA174" i="6"/>
  <c r="AB174" i="6"/>
  <c r="AC174" i="6"/>
  <c r="Z175" i="6"/>
  <c r="AA175" i="6"/>
  <c r="AB175" i="6"/>
  <c r="AC175" i="6"/>
  <c r="Z176" i="6"/>
  <c r="AA176" i="6"/>
  <c r="AB176" i="6"/>
  <c r="AC176" i="6"/>
  <c r="Z177" i="6"/>
  <c r="AA177" i="6"/>
  <c r="AB177" i="6"/>
  <c r="AC177" i="6"/>
  <c r="Z178" i="6"/>
  <c r="AA178" i="6"/>
  <c r="AB178" i="6"/>
  <c r="AC178" i="6"/>
  <c r="Z179" i="6"/>
  <c r="AA179" i="6"/>
  <c r="AB179" i="6"/>
  <c r="AC179" i="6"/>
  <c r="Z180" i="6"/>
  <c r="AA180" i="6"/>
  <c r="AB180" i="6"/>
  <c r="AC180" i="6"/>
  <c r="AD180" i="6"/>
  <c r="Z181" i="6"/>
  <c r="AA181" i="6"/>
  <c r="AB181" i="6"/>
  <c r="AC181" i="6"/>
  <c r="Z182" i="6"/>
  <c r="AA182" i="6"/>
  <c r="AB182" i="6"/>
  <c r="AC182" i="6"/>
  <c r="Z183" i="6"/>
  <c r="AA183" i="6"/>
  <c r="AB183" i="6"/>
  <c r="AC183" i="6"/>
  <c r="AD183" i="6"/>
  <c r="Z184" i="6"/>
  <c r="AA184" i="6"/>
  <c r="AB184" i="6"/>
  <c r="AC184" i="6"/>
  <c r="AD185" i="6"/>
  <c r="Z186" i="6"/>
  <c r="AA186" i="6"/>
  <c r="AB186" i="6"/>
  <c r="AC186" i="6"/>
  <c r="AD186" i="6"/>
  <c r="Z187" i="6"/>
  <c r="AA187" i="6"/>
  <c r="AB187" i="6"/>
  <c r="AC187" i="6"/>
  <c r="AD187" i="6"/>
  <c r="Z188" i="6"/>
  <c r="AA188" i="6"/>
  <c r="AB188" i="6"/>
  <c r="AC188" i="6"/>
  <c r="AD188" i="6"/>
  <c r="Z189" i="6"/>
  <c r="AA189" i="6"/>
  <c r="AB189" i="6"/>
  <c r="AC189" i="6"/>
  <c r="AD189" i="6"/>
  <c r="Z190" i="6"/>
  <c r="AA190" i="6"/>
  <c r="AB190" i="6"/>
  <c r="AC190" i="6"/>
  <c r="AD190" i="6"/>
  <c r="Z191" i="6"/>
  <c r="AA191" i="6"/>
  <c r="AB191" i="6"/>
  <c r="AC191" i="6"/>
  <c r="AD191" i="6"/>
  <c r="Z192" i="6"/>
  <c r="AA192" i="6"/>
  <c r="AB192" i="6"/>
  <c r="AC192" i="6"/>
  <c r="AD192" i="6"/>
  <c r="AB193" i="6"/>
  <c r="Z195" i="6"/>
  <c r="AA195" i="6"/>
  <c r="AB195" i="6"/>
  <c r="AC195" i="6"/>
  <c r="AD195" i="6"/>
  <c r="Z196" i="6"/>
  <c r="AA196" i="6"/>
  <c r="AB196" i="6"/>
  <c r="AC196" i="6"/>
  <c r="AD196" i="6"/>
  <c r="Z197" i="6"/>
  <c r="AA197" i="6"/>
  <c r="AB197" i="6"/>
  <c r="AC197" i="6"/>
  <c r="AD197" i="6"/>
  <c r="Z198" i="6"/>
  <c r="AA198" i="6"/>
  <c r="AB198" i="6"/>
  <c r="AC198" i="6"/>
  <c r="AD198" i="6"/>
  <c r="Z199" i="6"/>
  <c r="AA199" i="6"/>
  <c r="AB199" i="6"/>
  <c r="AC199" i="6"/>
  <c r="Z200" i="6"/>
  <c r="AA200" i="6"/>
  <c r="AB200" i="6"/>
  <c r="AC200" i="6"/>
  <c r="Z201" i="6"/>
  <c r="AA201" i="6"/>
  <c r="AB201" i="6"/>
  <c r="AC201" i="6"/>
  <c r="Z202" i="6"/>
  <c r="AA202" i="6"/>
  <c r="AB202" i="6"/>
  <c r="AC202" i="6"/>
  <c r="Z203" i="6"/>
  <c r="AA203" i="6"/>
  <c r="AB203" i="6"/>
  <c r="AC203" i="6"/>
  <c r="Z204" i="6"/>
  <c r="AA204" i="6"/>
  <c r="AB204" i="6"/>
  <c r="AC204" i="6"/>
  <c r="AD204" i="6"/>
  <c r="Z205" i="6"/>
  <c r="AA205" i="6"/>
  <c r="AB205" i="6"/>
  <c r="AC205" i="6"/>
  <c r="AD205" i="6"/>
  <c r="Z206" i="6"/>
  <c r="AA206" i="6"/>
  <c r="AB206" i="6"/>
  <c r="AC206" i="6"/>
  <c r="AD206" i="6"/>
  <c r="Z207" i="6"/>
  <c r="AA207" i="6"/>
  <c r="AB207" i="6"/>
  <c r="AC207" i="6"/>
  <c r="Z208" i="6"/>
  <c r="AA208" i="6"/>
  <c r="AB208" i="6"/>
  <c r="AC208" i="6"/>
  <c r="AD208" i="6"/>
  <c r="Z210" i="6"/>
  <c r="AA210" i="6"/>
  <c r="AB210" i="6"/>
  <c r="AC210" i="6"/>
  <c r="AD210" i="6"/>
  <c r="Z211" i="6"/>
  <c r="AA211" i="6"/>
  <c r="AB211" i="6"/>
  <c r="AC211" i="6"/>
  <c r="AD211" i="6"/>
  <c r="AC212" i="6"/>
  <c r="Z213" i="6"/>
  <c r="AA213" i="6"/>
  <c r="AB213" i="6"/>
  <c r="AC213" i="6"/>
  <c r="AD213" i="6"/>
  <c r="Z214" i="6"/>
  <c r="AA214" i="6"/>
  <c r="AB214" i="6"/>
  <c r="AC214" i="6"/>
  <c r="AD214" i="6"/>
  <c r="Z215" i="6"/>
  <c r="AA215" i="6"/>
  <c r="AB215" i="6"/>
  <c r="AC215" i="6"/>
  <c r="AD215" i="6"/>
  <c r="AC216" i="6"/>
  <c r="Z217" i="6"/>
  <c r="AA217" i="6"/>
  <c r="AB217" i="6"/>
  <c r="AC217" i="6"/>
  <c r="AD217" i="6"/>
  <c r="AD21" i="6"/>
  <c r="AC21" i="6"/>
  <c r="AB21" i="6"/>
  <c r="AA21" i="6"/>
  <c r="Z21" i="6"/>
  <c r="Z2" i="6"/>
  <c r="AA2" i="6"/>
  <c r="AB2" i="6"/>
  <c r="AC2" i="6"/>
  <c r="AD2" i="6"/>
  <c r="Z3" i="6"/>
  <c r="AA3" i="6"/>
  <c r="AB3" i="6"/>
  <c r="AC3" i="6"/>
  <c r="AD3" i="6"/>
  <c r="Z4" i="6"/>
  <c r="AA4" i="6"/>
  <c r="AB4" i="6"/>
  <c r="AC4" i="6"/>
  <c r="AD4" i="6"/>
  <c r="Z5" i="6"/>
  <c r="AA5" i="6"/>
  <c r="AB5" i="6"/>
  <c r="AC5" i="6"/>
  <c r="AD5" i="6"/>
  <c r="Z6" i="6"/>
  <c r="AA6" i="6"/>
  <c r="AB6" i="6"/>
  <c r="AC6" i="6"/>
  <c r="AD6" i="6"/>
  <c r="Z7" i="6"/>
  <c r="AA7" i="6"/>
  <c r="AB7" i="6"/>
  <c r="AC7" i="6"/>
  <c r="AD7" i="6"/>
  <c r="Z8" i="6"/>
  <c r="AA8" i="6"/>
  <c r="AB8" i="6"/>
  <c r="AC8" i="6"/>
  <c r="AD8" i="6"/>
  <c r="Z9" i="6"/>
  <c r="AA9" i="6"/>
  <c r="AB9" i="6"/>
  <c r="AC9" i="6"/>
  <c r="AD9" i="6"/>
  <c r="Z10" i="6"/>
  <c r="AA10" i="6"/>
  <c r="AB10" i="6"/>
  <c r="AC10" i="6"/>
  <c r="AD10" i="6"/>
  <c r="Z11" i="6"/>
  <c r="AA11" i="6"/>
  <c r="AB11" i="6"/>
  <c r="AC11" i="6"/>
  <c r="AD11" i="6"/>
  <c r="Z12" i="6"/>
  <c r="AA12" i="6"/>
  <c r="AB12" i="6"/>
  <c r="AC12" i="6"/>
  <c r="AD12" i="6"/>
  <c r="Z13" i="6"/>
  <c r="AA13" i="6"/>
  <c r="AB13" i="6"/>
  <c r="AC13" i="6"/>
  <c r="AD13" i="6"/>
  <c r="Z14" i="6"/>
  <c r="AA14" i="6"/>
  <c r="AB14" i="6"/>
  <c r="AC14" i="6"/>
  <c r="AD14" i="6"/>
  <c r="Z15" i="6"/>
  <c r="AA15" i="6"/>
  <c r="AB15" i="6"/>
  <c r="AC15" i="6"/>
  <c r="AD15" i="6"/>
  <c r="Z16" i="6"/>
  <c r="AA16" i="6"/>
  <c r="AB16" i="6"/>
  <c r="AC16" i="6"/>
  <c r="AD16" i="6"/>
  <c r="Z17" i="6"/>
  <c r="AA17" i="6"/>
  <c r="AB17" i="6"/>
  <c r="AC17" i="6"/>
  <c r="AD17" i="6"/>
  <c r="Z206" i="5"/>
  <c r="Z205" i="5"/>
  <c r="AF205" i="5" s="1"/>
  <c r="X205" i="6" s="1"/>
  <c r="Z203" i="5"/>
  <c r="Z202" i="5"/>
  <c r="Z201" i="5"/>
  <c r="Z200" i="5"/>
  <c r="Z199" i="5"/>
  <c r="Z197" i="5"/>
  <c r="Z185" i="5"/>
  <c r="Z184" i="5"/>
  <c r="Z182" i="5"/>
  <c r="Z179" i="5"/>
  <c r="Z178" i="5"/>
  <c r="Z177" i="5"/>
  <c r="Z176" i="5"/>
  <c r="Z175" i="5"/>
  <c r="Z174" i="5"/>
  <c r="Z168" i="5"/>
  <c r="Z167" i="5"/>
  <c r="Z166" i="5"/>
  <c r="Z165" i="5"/>
  <c r="Z164" i="5"/>
  <c r="Z162" i="5"/>
  <c r="Z154" i="5"/>
  <c r="AA154" i="5"/>
  <c r="AA153" i="5"/>
  <c r="Z152" i="5"/>
  <c r="Z148" i="5"/>
  <c r="Z146" i="5"/>
  <c r="Z145" i="5"/>
  <c r="Z144" i="5"/>
  <c r="AA140" i="5"/>
  <c r="Z138" i="5"/>
  <c r="Z135" i="5"/>
  <c r="AA127" i="5"/>
  <c r="AB127" i="5"/>
  <c r="AC127" i="5"/>
  <c r="AD127" i="5"/>
  <c r="AE127" i="5"/>
  <c r="Z127" i="5"/>
  <c r="AA126" i="5"/>
  <c r="AB126" i="5"/>
  <c r="AC126" i="5"/>
  <c r="AD126" i="5"/>
  <c r="AE126" i="5"/>
  <c r="Z126" i="5"/>
  <c r="Z124" i="5"/>
  <c r="Z123" i="5"/>
  <c r="AA123" i="5"/>
  <c r="AA122" i="5"/>
  <c r="Z121" i="5"/>
  <c r="Z119" i="5"/>
  <c r="AB111" i="5"/>
  <c r="AA111" i="5"/>
  <c r="AC111" i="5"/>
  <c r="AD111" i="5"/>
  <c r="AE111" i="5"/>
  <c r="Z111" i="5"/>
  <c r="AB110" i="5"/>
  <c r="AC110" i="5"/>
  <c r="AD110" i="5"/>
  <c r="AE110" i="5"/>
  <c r="AA110" i="5"/>
  <c r="Z110" i="5"/>
  <c r="Z108" i="5"/>
  <c r="Z107" i="5"/>
  <c r="AA106" i="5"/>
  <c r="AA105" i="5"/>
  <c r="AA104" i="5"/>
  <c r="AA103" i="5"/>
  <c r="Z101" i="5"/>
  <c r="AB102" i="5"/>
  <c r="Z99" i="5"/>
  <c r="Z98" i="5"/>
  <c r="Z95" i="5"/>
  <c r="Z94" i="5"/>
  <c r="Z93" i="5"/>
  <c r="AB181" i="5"/>
  <c r="AB81" i="5"/>
  <c r="AA74" i="15"/>
  <c r="AA74" i="4"/>
  <c r="AA74" i="5"/>
  <c r="Z71" i="4"/>
  <c r="Z70" i="4"/>
  <c r="Z69" i="4"/>
  <c r="Z71" i="5"/>
  <c r="Z70" i="5"/>
  <c r="Z69" i="5"/>
  <c r="T22" i="6"/>
  <c r="U22" i="6"/>
  <c r="V22" i="6"/>
  <c r="W22" i="6"/>
  <c r="X22" i="6"/>
  <c r="T23" i="6"/>
  <c r="U23" i="6"/>
  <c r="V23" i="6"/>
  <c r="W23" i="6"/>
  <c r="X23" i="6"/>
  <c r="T24" i="6"/>
  <c r="U24" i="6"/>
  <c r="V24" i="6"/>
  <c r="W24" i="6"/>
  <c r="X24" i="6"/>
  <c r="T25" i="6"/>
  <c r="U25" i="6"/>
  <c r="V25" i="6"/>
  <c r="W25" i="6"/>
  <c r="X25" i="6"/>
  <c r="T26" i="6"/>
  <c r="U26" i="6"/>
  <c r="V26" i="6"/>
  <c r="W26" i="6"/>
  <c r="X26" i="6"/>
  <c r="T27" i="6"/>
  <c r="U27" i="6"/>
  <c r="V27" i="6"/>
  <c r="W27" i="6"/>
  <c r="X27" i="6"/>
  <c r="T28" i="6"/>
  <c r="U28" i="6"/>
  <c r="V28" i="6"/>
  <c r="W28" i="6"/>
  <c r="X28" i="6"/>
  <c r="T29" i="6"/>
  <c r="U29" i="6"/>
  <c r="V29" i="6"/>
  <c r="W29" i="6"/>
  <c r="X29" i="6"/>
  <c r="T30" i="6"/>
  <c r="U30" i="6"/>
  <c r="V30" i="6"/>
  <c r="W30" i="6"/>
  <c r="X30" i="6"/>
  <c r="T31" i="6"/>
  <c r="U31" i="6"/>
  <c r="V31" i="6"/>
  <c r="W31" i="6"/>
  <c r="X31" i="6"/>
  <c r="T32" i="6"/>
  <c r="U32" i="6"/>
  <c r="V32" i="6"/>
  <c r="W32" i="6"/>
  <c r="X32" i="6"/>
  <c r="T33" i="6"/>
  <c r="U33" i="6"/>
  <c r="V33" i="6"/>
  <c r="W33" i="6"/>
  <c r="X33" i="6"/>
  <c r="T34" i="6"/>
  <c r="U34" i="6"/>
  <c r="V34" i="6"/>
  <c r="W34" i="6"/>
  <c r="X34" i="6"/>
  <c r="T35" i="6"/>
  <c r="U35" i="6"/>
  <c r="V35" i="6"/>
  <c r="W35" i="6"/>
  <c r="X35" i="6"/>
  <c r="T36" i="6"/>
  <c r="U36" i="6"/>
  <c r="V36" i="6"/>
  <c r="W36" i="6"/>
  <c r="X36" i="6"/>
  <c r="T37" i="6"/>
  <c r="U37" i="6"/>
  <c r="V37" i="6"/>
  <c r="W37" i="6"/>
  <c r="X37" i="6"/>
  <c r="T38" i="6"/>
  <c r="U38" i="6"/>
  <c r="V38" i="6"/>
  <c r="W38" i="6"/>
  <c r="X38" i="6"/>
  <c r="T39" i="6"/>
  <c r="U39" i="6"/>
  <c r="V39" i="6"/>
  <c r="W39" i="6"/>
  <c r="X39" i="6"/>
  <c r="T40" i="6"/>
  <c r="U40" i="6"/>
  <c r="V40" i="6"/>
  <c r="W40" i="6"/>
  <c r="X40" i="6"/>
  <c r="T41" i="6"/>
  <c r="U41" i="6"/>
  <c r="V41" i="6"/>
  <c r="W41" i="6"/>
  <c r="X41" i="6"/>
  <c r="T42" i="6"/>
  <c r="U42" i="6"/>
  <c r="V42" i="6"/>
  <c r="W42" i="6"/>
  <c r="X42" i="6"/>
  <c r="T43" i="6"/>
  <c r="U43" i="6"/>
  <c r="V43" i="6"/>
  <c r="W43" i="6"/>
  <c r="X43" i="6"/>
  <c r="T44" i="6"/>
  <c r="U44" i="6"/>
  <c r="V44" i="6"/>
  <c r="W44" i="6"/>
  <c r="X44" i="6"/>
  <c r="T45" i="6"/>
  <c r="U45" i="6"/>
  <c r="V45" i="6"/>
  <c r="W45" i="6"/>
  <c r="X45" i="6"/>
  <c r="T46" i="6"/>
  <c r="U46" i="6"/>
  <c r="V46" i="6"/>
  <c r="W46" i="6"/>
  <c r="X46" i="6"/>
  <c r="T47" i="6"/>
  <c r="U47" i="6"/>
  <c r="V47" i="6"/>
  <c r="W47" i="6"/>
  <c r="X47" i="6"/>
  <c r="T48" i="6"/>
  <c r="U48" i="6"/>
  <c r="V48" i="6"/>
  <c r="W48" i="6"/>
  <c r="X48" i="6"/>
  <c r="T49" i="6"/>
  <c r="U49" i="6"/>
  <c r="V49" i="6"/>
  <c r="W49" i="6"/>
  <c r="T50" i="6"/>
  <c r="U50" i="6"/>
  <c r="V50" i="6"/>
  <c r="W50" i="6"/>
  <c r="T51" i="6"/>
  <c r="U51" i="6"/>
  <c r="V51" i="6"/>
  <c r="W51" i="6"/>
  <c r="X51" i="6"/>
  <c r="T52" i="6"/>
  <c r="U52" i="6"/>
  <c r="V52" i="6"/>
  <c r="W52" i="6"/>
  <c r="X52" i="6"/>
  <c r="T53" i="6"/>
  <c r="U53" i="6"/>
  <c r="V53" i="6"/>
  <c r="W53" i="6"/>
  <c r="X53" i="6"/>
  <c r="T54" i="6"/>
  <c r="U54" i="6"/>
  <c r="V54" i="6"/>
  <c r="W54" i="6"/>
  <c r="X54" i="6"/>
  <c r="T55" i="6"/>
  <c r="U55" i="6"/>
  <c r="V55" i="6"/>
  <c r="W55" i="6"/>
  <c r="X55" i="6"/>
  <c r="T56" i="6"/>
  <c r="U56" i="6"/>
  <c r="V56" i="6"/>
  <c r="W56" i="6"/>
  <c r="X56" i="6"/>
  <c r="T57" i="6"/>
  <c r="U57" i="6"/>
  <c r="V57" i="6"/>
  <c r="W57" i="6"/>
  <c r="X57" i="6"/>
  <c r="T58" i="6"/>
  <c r="U58" i="6"/>
  <c r="V58" i="6"/>
  <c r="W58" i="6"/>
  <c r="X58" i="6"/>
  <c r="T59" i="6"/>
  <c r="U59" i="6"/>
  <c r="V59" i="6"/>
  <c r="W59" i="6"/>
  <c r="X59" i="6"/>
  <c r="T60" i="6"/>
  <c r="U60" i="6"/>
  <c r="V60" i="6"/>
  <c r="W60" i="6"/>
  <c r="X60" i="6"/>
  <c r="T61" i="6"/>
  <c r="U61" i="6"/>
  <c r="V61" i="6"/>
  <c r="W61" i="6"/>
  <c r="T62" i="6"/>
  <c r="U62" i="6"/>
  <c r="V62" i="6"/>
  <c r="W62" i="6"/>
  <c r="X62" i="6"/>
  <c r="T63" i="6"/>
  <c r="U63" i="6"/>
  <c r="V63" i="6"/>
  <c r="W63" i="6"/>
  <c r="X63" i="6"/>
  <c r="T64" i="6"/>
  <c r="U64" i="6"/>
  <c r="V64" i="6"/>
  <c r="W64" i="6"/>
  <c r="T65" i="6"/>
  <c r="U65" i="6"/>
  <c r="V65" i="6"/>
  <c r="W65" i="6"/>
  <c r="T66" i="6"/>
  <c r="U66" i="6"/>
  <c r="V66" i="6"/>
  <c r="W66" i="6"/>
  <c r="X66" i="6"/>
  <c r="T67" i="6"/>
  <c r="U67" i="6"/>
  <c r="V67" i="6"/>
  <c r="W67" i="6"/>
  <c r="X67" i="6"/>
  <c r="T68" i="6"/>
  <c r="U68" i="6"/>
  <c r="V68" i="6"/>
  <c r="W68" i="6"/>
  <c r="X68" i="6"/>
  <c r="T69" i="6"/>
  <c r="U69" i="6"/>
  <c r="V69" i="6"/>
  <c r="T70" i="6"/>
  <c r="U70" i="6"/>
  <c r="V70" i="6"/>
  <c r="W70" i="6"/>
  <c r="T71" i="6"/>
  <c r="U71" i="6"/>
  <c r="V71" i="6"/>
  <c r="W71" i="6"/>
  <c r="X71" i="6"/>
  <c r="T72" i="6"/>
  <c r="U72" i="6"/>
  <c r="V72" i="6"/>
  <c r="W72" i="6"/>
  <c r="X72" i="6"/>
  <c r="T73" i="6"/>
  <c r="U73" i="6"/>
  <c r="T74" i="6"/>
  <c r="U74" i="6"/>
  <c r="T75" i="6"/>
  <c r="U75" i="6"/>
  <c r="V75" i="6"/>
  <c r="W75" i="6"/>
  <c r="X75" i="6"/>
  <c r="U76" i="6"/>
  <c r="V76" i="6"/>
  <c r="W76" i="6"/>
  <c r="X76" i="6"/>
  <c r="T77" i="6"/>
  <c r="U77" i="6"/>
  <c r="V77" i="6"/>
  <c r="W77" i="6"/>
  <c r="X77" i="6"/>
  <c r="T78" i="6"/>
  <c r="U78" i="6"/>
  <c r="V78" i="6"/>
  <c r="W78" i="6"/>
  <c r="X78" i="6"/>
  <c r="T79" i="6"/>
  <c r="U79" i="6"/>
  <c r="V79" i="6"/>
  <c r="W79" i="6"/>
  <c r="X79" i="6"/>
  <c r="T80" i="6"/>
  <c r="U80" i="6"/>
  <c r="V80" i="6"/>
  <c r="W80" i="6"/>
  <c r="X80" i="6"/>
  <c r="T81" i="6"/>
  <c r="U81" i="6"/>
  <c r="V81" i="6"/>
  <c r="W81" i="6"/>
  <c r="U82" i="6"/>
  <c r="T83" i="6"/>
  <c r="U83" i="6"/>
  <c r="V83" i="6"/>
  <c r="W83" i="6"/>
  <c r="X83" i="6"/>
  <c r="T84" i="6"/>
  <c r="U84" i="6"/>
  <c r="V84" i="6"/>
  <c r="W84" i="6"/>
  <c r="X84" i="6"/>
  <c r="T85" i="6"/>
  <c r="U85" i="6"/>
  <c r="V85" i="6"/>
  <c r="W85" i="6"/>
  <c r="X85" i="6"/>
  <c r="T86" i="6"/>
  <c r="U86" i="6"/>
  <c r="V86" i="6"/>
  <c r="W86" i="6"/>
  <c r="X86" i="6"/>
  <c r="T87" i="6"/>
  <c r="U87" i="6"/>
  <c r="V87" i="6"/>
  <c r="W87" i="6"/>
  <c r="X87" i="6"/>
  <c r="T88" i="6"/>
  <c r="U88" i="6"/>
  <c r="V88" i="6"/>
  <c r="W88" i="6"/>
  <c r="X88" i="6"/>
  <c r="T89" i="6"/>
  <c r="U89" i="6"/>
  <c r="V89" i="6"/>
  <c r="W89" i="6"/>
  <c r="X89" i="6"/>
  <c r="T90" i="6"/>
  <c r="U90" i="6"/>
  <c r="V90" i="6"/>
  <c r="W90" i="6"/>
  <c r="X90" i="6"/>
  <c r="T91" i="6"/>
  <c r="U91" i="6"/>
  <c r="V91" i="6"/>
  <c r="W91" i="6"/>
  <c r="X91" i="6"/>
  <c r="T92" i="6"/>
  <c r="U92" i="6"/>
  <c r="V92" i="6"/>
  <c r="W92" i="6"/>
  <c r="X92" i="6"/>
  <c r="T93" i="6"/>
  <c r="U93" i="6"/>
  <c r="V93" i="6"/>
  <c r="W93" i="6"/>
  <c r="T94" i="6"/>
  <c r="U94" i="6"/>
  <c r="V94" i="6"/>
  <c r="W94" i="6"/>
  <c r="T95" i="6"/>
  <c r="U95" i="6"/>
  <c r="V95" i="6"/>
  <c r="W95" i="6"/>
  <c r="T96" i="6"/>
  <c r="U96" i="6"/>
  <c r="V96" i="6"/>
  <c r="W96" i="6"/>
  <c r="X96" i="6"/>
  <c r="T97" i="6"/>
  <c r="U97" i="6"/>
  <c r="V97" i="6"/>
  <c r="W97" i="6"/>
  <c r="X97" i="6"/>
  <c r="T98" i="6"/>
  <c r="U98" i="6"/>
  <c r="V98" i="6"/>
  <c r="W98" i="6"/>
  <c r="X98" i="6"/>
  <c r="T99" i="6"/>
  <c r="U99" i="6"/>
  <c r="V99" i="6"/>
  <c r="W99" i="6"/>
  <c r="X99" i="6"/>
  <c r="T100" i="6"/>
  <c r="U100" i="6"/>
  <c r="V100" i="6"/>
  <c r="W100" i="6"/>
  <c r="X100" i="6"/>
  <c r="T101" i="6"/>
  <c r="U101" i="6"/>
  <c r="V101" i="6"/>
  <c r="W101" i="6"/>
  <c r="T102" i="6"/>
  <c r="U102" i="6"/>
  <c r="V102" i="6"/>
  <c r="W102" i="6"/>
  <c r="T103" i="6"/>
  <c r="U103" i="6"/>
  <c r="V103" i="6"/>
  <c r="W103" i="6"/>
  <c r="T104" i="6"/>
  <c r="U104" i="6"/>
  <c r="V104" i="6"/>
  <c r="W104" i="6"/>
  <c r="T105" i="6"/>
  <c r="U105" i="6"/>
  <c r="V105" i="6"/>
  <c r="W105" i="6"/>
  <c r="X105" i="6"/>
  <c r="T106" i="6"/>
  <c r="U106" i="6"/>
  <c r="V106" i="6"/>
  <c r="W106" i="6"/>
  <c r="T107" i="6"/>
  <c r="U107" i="6"/>
  <c r="V107" i="6"/>
  <c r="W107" i="6"/>
  <c r="T108" i="6"/>
  <c r="U108" i="6"/>
  <c r="V108" i="6"/>
  <c r="W108" i="6"/>
  <c r="T109" i="6"/>
  <c r="U109" i="6"/>
  <c r="V109" i="6"/>
  <c r="W109" i="6"/>
  <c r="T110" i="6"/>
  <c r="U110" i="6"/>
  <c r="V110" i="6"/>
  <c r="W110" i="6"/>
  <c r="T111" i="6"/>
  <c r="U111" i="6"/>
  <c r="V111" i="6"/>
  <c r="W111" i="6"/>
  <c r="T112" i="6"/>
  <c r="U112" i="6"/>
  <c r="V112" i="6"/>
  <c r="W112" i="6"/>
  <c r="T113" i="6"/>
  <c r="U113" i="6"/>
  <c r="V113" i="6"/>
  <c r="W113" i="6"/>
  <c r="T114" i="6"/>
  <c r="U114" i="6"/>
  <c r="V114" i="6"/>
  <c r="W114" i="6"/>
  <c r="X114" i="6"/>
  <c r="T115" i="6"/>
  <c r="U115" i="6"/>
  <c r="V115" i="6"/>
  <c r="W115" i="6"/>
  <c r="X115" i="6"/>
  <c r="T116" i="6"/>
  <c r="U116" i="6"/>
  <c r="V116" i="6"/>
  <c r="W116" i="6"/>
  <c r="T117" i="6"/>
  <c r="U117" i="6"/>
  <c r="V117" i="6"/>
  <c r="W117" i="6"/>
  <c r="X117" i="6"/>
  <c r="T118" i="6"/>
  <c r="U118" i="6"/>
  <c r="V118" i="6"/>
  <c r="W118" i="6"/>
  <c r="X118" i="6"/>
  <c r="T119" i="6"/>
  <c r="U119" i="6"/>
  <c r="V119" i="6"/>
  <c r="W119" i="6"/>
  <c r="X119" i="6"/>
  <c r="T120" i="6"/>
  <c r="U120" i="6"/>
  <c r="V120" i="6"/>
  <c r="W120" i="6"/>
  <c r="X120" i="6"/>
  <c r="T121" i="6"/>
  <c r="U121" i="6"/>
  <c r="V121" i="6"/>
  <c r="W121" i="6"/>
  <c r="T122" i="6"/>
  <c r="U122" i="6"/>
  <c r="V122" i="6"/>
  <c r="W122" i="6"/>
  <c r="T123" i="6"/>
  <c r="U123" i="6"/>
  <c r="V123" i="6"/>
  <c r="W123" i="6"/>
  <c r="T124" i="6"/>
  <c r="U124" i="6"/>
  <c r="V124" i="6"/>
  <c r="W124" i="6"/>
  <c r="T125" i="6"/>
  <c r="U125" i="6"/>
  <c r="V125" i="6"/>
  <c r="W125" i="6"/>
  <c r="T126" i="6"/>
  <c r="U126" i="6"/>
  <c r="V126" i="6"/>
  <c r="W126" i="6"/>
  <c r="T127" i="6"/>
  <c r="U127" i="6"/>
  <c r="V127" i="6"/>
  <c r="W127" i="6"/>
  <c r="T128" i="6"/>
  <c r="U128" i="6"/>
  <c r="V128" i="6"/>
  <c r="W128" i="6"/>
  <c r="T129" i="6"/>
  <c r="U129" i="6"/>
  <c r="V129" i="6"/>
  <c r="W129" i="6"/>
  <c r="T130" i="6"/>
  <c r="U130" i="6"/>
  <c r="V130" i="6"/>
  <c r="W130" i="6"/>
  <c r="X130" i="6"/>
  <c r="T131" i="6"/>
  <c r="U131" i="6"/>
  <c r="V131" i="6"/>
  <c r="W131" i="6"/>
  <c r="X131" i="6"/>
  <c r="T132" i="6"/>
  <c r="U132" i="6"/>
  <c r="V132" i="6"/>
  <c r="W132" i="6"/>
  <c r="T133" i="6"/>
  <c r="U133" i="6"/>
  <c r="V133" i="6"/>
  <c r="W133" i="6"/>
  <c r="X133" i="6"/>
  <c r="T134" i="6"/>
  <c r="U134" i="6"/>
  <c r="V134" i="6"/>
  <c r="W134" i="6"/>
  <c r="X134" i="6"/>
  <c r="T135" i="6"/>
  <c r="U135" i="6"/>
  <c r="V135" i="6"/>
  <c r="W135" i="6"/>
  <c r="T136" i="6"/>
  <c r="U136" i="6"/>
  <c r="V136" i="6"/>
  <c r="W136" i="6"/>
  <c r="X136" i="6"/>
  <c r="T137" i="6"/>
  <c r="U137" i="6"/>
  <c r="V137" i="6"/>
  <c r="W137" i="6"/>
  <c r="X137" i="6"/>
  <c r="T138" i="6"/>
  <c r="U138" i="6"/>
  <c r="V138" i="6"/>
  <c r="W138" i="6"/>
  <c r="T139" i="6"/>
  <c r="U139" i="6"/>
  <c r="V139" i="6"/>
  <c r="W139" i="6"/>
  <c r="X139" i="6"/>
  <c r="T140" i="6"/>
  <c r="U140" i="6"/>
  <c r="V140" i="6"/>
  <c r="W140" i="6"/>
  <c r="T141" i="6"/>
  <c r="U141" i="6"/>
  <c r="V141" i="6"/>
  <c r="W141" i="6"/>
  <c r="T142" i="6"/>
  <c r="U142" i="6"/>
  <c r="V142" i="6"/>
  <c r="W142" i="6"/>
  <c r="X142" i="6"/>
  <c r="T143" i="6"/>
  <c r="U143" i="6"/>
  <c r="V143" i="6"/>
  <c r="W143" i="6"/>
  <c r="X143" i="6"/>
  <c r="T144" i="6"/>
  <c r="U144" i="6"/>
  <c r="V144" i="6"/>
  <c r="W144" i="6"/>
  <c r="T145" i="6"/>
  <c r="U145" i="6"/>
  <c r="V145" i="6"/>
  <c r="W145" i="6"/>
  <c r="T146" i="6"/>
  <c r="U146" i="6"/>
  <c r="V146" i="6"/>
  <c r="W146" i="6"/>
  <c r="T147" i="6"/>
  <c r="U147" i="6"/>
  <c r="V147" i="6"/>
  <c r="W147" i="6"/>
  <c r="X147" i="6"/>
  <c r="T148" i="6"/>
  <c r="U148" i="6"/>
  <c r="V148" i="6"/>
  <c r="W148" i="6"/>
  <c r="T149" i="6"/>
  <c r="U149" i="6"/>
  <c r="V149" i="6"/>
  <c r="W149" i="6"/>
  <c r="T150" i="6"/>
  <c r="U150" i="6"/>
  <c r="V150" i="6"/>
  <c r="W150" i="6"/>
  <c r="X150" i="6"/>
  <c r="T151" i="6"/>
  <c r="U151" i="6"/>
  <c r="V151" i="6"/>
  <c r="W151" i="6"/>
  <c r="X151" i="6"/>
  <c r="T152" i="6"/>
  <c r="U152" i="6"/>
  <c r="V152" i="6"/>
  <c r="W152" i="6"/>
  <c r="T153" i="6"/>
  <c r="U153" i="6"/>
  <c r="V153" i="6"/>
  <c r="W153" i="6"/>
  <c r="T154" i="6"/>
  <c r="U154" i="6"/>
  <c r="V154" i="6"/>
  <c r="W154" i="6"/>
  <c r="T155" i="6"/>
  <c r="U155" i="6"/>
  <c r="V155" i="6"/>
  <c r="W155" i="6"/>
  <c r="X155" i="6"/>
  <c r="T156" i="6"/>
  <c r="U156" i="6"/>
  <c r="V156" i="6"/>
  <c r="W156" i="6"/>
  <c r="X156" i="6"/>
  <c r="T157" i="6"/>
  <c r="U157" i="6"/>
  <c r="V157" i="6"/>
  <c r="W157" i="6"/>
  <c r="X157" i="6"/>
  <c r="T158" i="6"/>
  <c r="U158" i="6"/>
  <c r="V158" i="6"/>
  <c r="W158" i="6"/>
  <c r="X158" i="6"/>
  <c r="T159" i="6"/>
  <c r="U159" i="6"/>
  <c r="V159" i="6"/>
  <c r="W159" i="6"/>
  <c r="T160" i="6"/>
  <c r="U160" i="6"/>
  <c r="V160" i="6"/>
  <c r="W160" i="6"/>
  <c r="X160" i="6"/>
  <c r="T161" i="6"/>
  <c r="U161" i="6"/>
  <c r="V161" i="6"/>
  <c r="W161" i="6"/>
  <c r="X161" i="6"/>
  <c r="T162" i="6"/>
  <c r="U162" i="6"/>
  <c r="V162" i="6"/>
  <c r="W162" i="6"/>
  <c r="X162" i="6"/>
  <c r="T163" i="6"/>
  <c r="U163" i="6"/>
  <c r="V163" i="6"/>
  <c r="W163" i="6"/>
  <c r="X163" i="6"/>
  <c r="T164" i="6"/>
  <c r="U164" i="6"/>
  <c r="V164" i="6"/>
  <c r="W164" i="6"/>
  <c r="T165" i="6"/>
  <c r="U165" i="6"/>
  <c r="V165" i="6"/>
  <c r="W165" i="6"/>
  <c r="T166" i="6"/>
  <c r="U166" i="6"/>
  <c r="V166" i="6"/>
  <c r="W166" i="6"/>
  <c r="T167" i="6"/>
  <c r="U167" i="6"/>
  <c r="V167" i="6"/>
  <c r="W167" i="6"/>
  <c r="X167" i="6"/>
  <c r="T168" i="6"/>
  <c r="U168" i="6"/>
  <c r="V168" i="6"/>
  <c r="W168" i="6"/>
  <c r="T169" i="6"/>
  <c r="U169" i="6"/>
  <c r="V169" i="6"/>
  <c r="W169" i="6"/>
  <c r="X169" i="6"/>
  <c r="T170" i="6"/>
  <c r="U170" i="6"/>
  <c r="V170" i="6"/>
  <c r="W170" i="6"/>
  <c r="X170" i="6"/>
  <c r="T171" i="6"/>
  <c r="U171" i="6"/>
  <c r="V171" i="6"/>
  <c r="W171" i="6"/>
  <c r="T172" i="6"/>
  <c r="U172" i="6"/>
  <c r="V172" i="6"/>
  <c r="W172" i="6"/>
  <c r="X172" i="6"/>
  <c r="T173" i="6"/>
  <c r="U173" i="6"/>
  <c r="V173" i="6"/>
  <c r="W173" i="6"/>
  <c r="X173" i="6"/>
  <c r="T174" i="6"/>
  <c r="U174" i="6"/>
  <c r="V174" i="6"/>
  <c r="W174" i="6"/>
  <c r="X174" i="6"/>
  <c r="T175" i="6"/>
  <c r="U175" i="6"/>
  <c r="V175" i="6"/>
  <c r="W175" i="6"/>
  <c r="T176" i="6"/>
  <c r="U176" i="6"/>
  <c r="V176" i="6"/>
  <c r="W176" i="6"/>
  <c r="X176" i="6"/>
  <c r="T177" i="6"/>
  <c r="U177" i="6"/>
  <c r="V177" i="6"/>
  <c r="W177" i="6"/>
  <c r="T178" i="6"/>
  <c r="U178" i="6"/>
  <c r="V178" i="6"/>
  <c r="W178" i="6"/>
  <c r="T179" i="6"/>
  <c r="U179" i="6"/>
  <c r="V179" i="6"/>
  <c r="W179" i="6"/>
  <c r="T180" i="6"/>
  <c r="U180" i="6"/>
  <c r="V180" i="6"/>
  <c r="W180" i="6"/>
  <c r="X180" i="6"/>
  <c r="T181" i="6"/>
  <c r="U181" i="6"/>
  <c r="V181" i="6"/>
  <c r="W181" i="6"/>
  <c r="T182" i="6"/>
  <c r="U182" i="6"/>
  <c r="V182" i="6"/>
  <c r="W182" i="6"/>
  <c r="X182" i="6"/>
  <c r="T183" i="6"/>
  <c r="U183" i="6"/>
  <c r="V183" i="6"/>
  <c r="W183" i="6"/>
  <c r="T184" i="6"/>
  <c r="U184" i="6"/>
  <c r="V184" i="6"/>
  <c r="W184" i="6"/>
  <c r="T185" i="6"/>
  <c r="U185" i="6"/>
  <c r="V185" i="6"/>
  <c r="W185" i="6"/>
  <c r="T186" i="6"/>
  <c r="U186" i="6"/>
  <c r="V186" i="6"/>
  <c r="W186" i="6"/>
  <c r="X186" i="6"/>
  <c r="T187" i="6"/>
  <c r="U187" i="6"/>
  <c r="V187" i="6"/>
  <c r="W187" i="6"/>
  <c r="X187" i="6"/>
  <c r="T188" i="6"/>
  <c r="U188" i="6"/>
  <c r="V188" i="6"/>
  <c r="W188" i="6"/>
  <c r="X188" i="6"/>
  <c r="T189" i="6"/>
  <c r="U189" i="6"/>
  <c r="V189" i="6"/>
  <c r="W189" i="6"/>
  <c r="X189" i="6"/>
  <c r="T190" i="6"/>
  <c r="U190" i="6"/>
  <c r="V190" i="6"/>
  <c r="W190" i="6"/>
  <c r="X190" i="6"/>
  <c r="T191" i="6"/>
  <c r="U191" i="6"/>
  <c r="V191" i="6"/>
  <c r="W191" i="6"/>
  <c r="X191" i="6"/>
  <c r="T192" i="6"/>
  <c r="U192" i="6"/>
  <c r="V192" i="6"/>
  <c r="W192" i="6"/>
  <c r="X192" i="6"/>
  <c r="T193" i="6"/>
  <c r="T194" i="6"/>
  <c r="T195" i="6"/>
  <c r="U195" i="6"/>
  <c r="V195" i="6"/>
  <c r="W195" i="6"/>
  <c r="X195" i="6"/>
  <c r="T196" i="6"/>
  <c r="U196" i="6"/>
  <c r="V196" i="6"/>
  <c r="W196" i="6"/>
  <c r="X196" i="6"/>
  <c r="T197" i="6"/>
  <c r="U197" i="6"/>
  <c r="V197" i="6"/>
  <c r="W197" i="6"/>
  <c r="T198" i="6"/>
  <c r="U198" i="6"/>
  <c r="V198" i="6"/>
  <c r="W198" i="6"/>
  <c r="X198" i="6"/>
  <c r="T199" i="6"/>
  <c r="U199" i="6"/>
  <c r="V199" i="6"/>
  <c r="W199" i="6"/>
  <c r="X199" i="6"/>
  <c r="T200" i="6"/>
  <c r="U200" i="6"/>
  <c r="V200" i="6"/>
  <c r="W200" i="6"/>
  <c r="X200" i="6"/>
  <c r="T201" i="6"/>
  <c r="U201" i="6"/>
  <c r="V201" i="6"/>
  <c r="W201" i="6"/>
  <c r="T202" i="6"/>
  <c r="U202" i="6"/>
  <c r="V202" i="6"/>
  <c r="W202" i="6"/>
  <c r="T203" i="6"/>
  <c r="U203" i="6"/>
  <c r="V203" i="6"/>
  <c r="W203" i="6"/>
  <c r="T204" i="6"/>
  <c r="U204" i="6"/>
  <c r="V204" i="6"/>
  <c r="W204" i="6"/>
  <c r="X204" i="6"/>
  <c r="T205" i="6"/>
  <c r="U205" i="6"/>
  <c r="V205" i="6"/>
  <c r="W205" i="6"/>
  <c r="T206" i="6"/>
  <c r="U206" i="6"/>
  <c r="V206" i="6"/>
  <c r="W206" i="6"/>
  <c r="T207" i="6"/>
  <c r="U207" i="6"/>
  <c r="V207" i="6"/>
  <c r="W207" i="6"/>
  <c r="T208" i="6"/>
  <c r="U208" i="6"/>
  <c r="V208" i="6"/>
  <c r="W208" i="6"/>
  <c r="X208" i="6"/>
  <c r="T209" i="6"/>
  <c r="T210" i="6"/>
  <c r="U210" i="6"/>
  <c r="V210" i="6"/>
  <c r="W210" i="6"/>
  <c r="X210" i="6"/>
  <c r="T211" i="6"/>
  <c r="U211" i="6"/>
  <c r="V211" i="6"/>
  <c r="W211" i="6"/>
  <c r="X211" i="6"/>
  <c r="T212" i="6"/>
  <c r="U212" i="6"/>
  <c r="V212" i="6"/>
  <c r="W212" i="6"/>
  <c r="X212" i="6"/>
  <c r="T215" i="6"/>
  <c r="U215" i="6"/>
  <c r="V215" i="6"/>
  <c r="W215" i="6"/>
  <c r="X215" i="6"/>
  <c r="T217" i="6"/>
  <c r="U217" i="6"/>
  <c r="V217" i="6"/>
  <c r="W217" i="6"/>
  <c r="X217" i="6"/>
  <c r="X21" i="6"/>
  <c r="W21" i="6"/>
  <c r="V21" i="6"/>
  <c r="U21" i="6"/>
  <c r="T21" i="6"/>
  <c r="T3" i="6"/>
  <c r="U3" i="6"/>
  <c r="V3" i="6"/>
  <c r="W3" i="6"/>
  <c r="X3" i="6"/>
  <c r="T4" i="6"/>
  <c r="U4" i="6"/>
  <c r="V4" i="6"/>
  <c r="W4" i="6"/>
  <c r="X4" i="6"/>
  <c r="T5" i="6"/>
  <c r="U5" i="6"/>
  <c r="V5" i="6"/>
  <c r="W5" i="6"/>
  <c r="X5" i="6"/>
  <c r="T6" i="6"/>
  <c r="U6" i="6"/>
  <c r="V6" i="6"/>
  <c r="W6" i="6"/>
  <c r="X6" i="6"/>
  <c r="T7" i="6"/>
  <c r="U7" i="6"/>
  <c r="V7" i="6"/>
  <c r="W7" i="6"/>
  <c r="X7" i="6"/>
  <c r="T8" i="6"/>
  <c r="U8" i="6"/>
  <c r="V8" i="6"/>
  <c r="W8" i="6"/>
  <c r="X8" i="6"/>
  <c r="T9" i="6"/>
  <c r="U9" i="6"/>
  <c r="V9" i="6"/>
  <c r="W9" i="6"/>
  <c r="X9" i="6"/>
  <c r="T10" i="6"/>
  <c r="U10" i="6"/>
  <c r="V10" i="6"/>
  <c r="W10" i="6"/>
  <c r="X10" i="6"/>
  <c r="T11" i="6"/>
  <c r="U11" i="6"/>
  <c r="V11" i="6"/>
  <c r="W11" i="6"/>
  <c r="X11" i="6"/>
  <c r="T12" i="6"/>
  <c r="U12" i="6"/>
  <c r="V12" i="6"/>
  <c r="W12" i="6"/>
  <c r="X12" i="6"/>
  <c r="T13" i="6"/>
  <c r="U13" i="6"/>
  <c r="V13" i="6"/>
  <c r="W13" i="6"/>
  <c r="X13" i="6"/>
  <c r="T14" i="6"/>
  <c r="U14" i="6"/>
  <c r="V14" i="6"/>
  <c r="W14" i="6"/>
  <c r="X14" i="6"/>
  <c r="T15" i="6"/>
  <c r="U15" i="6"/>
  <c r="V15" i="6"/>
  <c r="W15" i="6"/>
  <c r="X15" i="6"/>
  <c r="T16" i="6"/>
  <c r="U16" i="6"/>
  <c r="V16" i="6"/>
  <c r="W16" i="6"/>
  <c r="X16" i="6"/>
  <c r="T17" i="6"/>
  <c r="U17" i="6"/>
  <c r="V17" i="6"/>
  <c r="W17" i="6"/>
  <c r="X17" i="6"/>
  <c r="X2" i="6"/>
  <c r="W2" i="6"/>
  <c r="V2" i="6"/>
  <c r="U2" i="6"/>
  <c r="T2" i="6"/>
  <c r="R206" i="5"/>
  <c r="R205" i="5"/>
  <c r="BN205" i="5" s="1"/>
  <c r="BT205" i="5" s="1"/>
  <c r="R203" i="5"/>
  <c r="R202" i="5"/>
  <c r="R201" i="5"/>
  <c r="R200" i="5"/>
  <c r="R199" i="5"/>
  <c r="R197" i="5"/>
  <c r="R185" i="5"/>
  <c r="R184" i="5"/>
  <c r="R183" i="5"/>
  <c r="R182" i="5"/>
  <c r="R179" i="5"/>
  <c r="R178" i="5"/>
  <c r="R177" i="5"/>
  <c r="R176" i="5"/>
  <c r="R175" i="5"/>
  <c r="R174" i="5"/>
  <c r="R168" i="5"/>
  <c r="R167" i="5"/>
  <c r="R166" i="5"/>
  <c r="R165" i="5"/>
  <c r="R164" i="5"/>
  <c r="R163" i="5"/>
  <c r="R162" i="5"/>
  <c r="R154" i="5"/>
  <c r="S154" i="5"/>
  <c r="S153" i="5"/>
  <c r="R152" i="5"/>
  <c r="R148" i="5"/>
  <c r="R146" i="5"/>
  <c r="R145" i="5"/>
  <c r="R144" i="5"/>
  <c r="S140" i="5"/>
  <c r="R138" i="5"/>
  <c r="R135" i="5"/>
  <c r="S127" i="5"/>
  <c r="T127" i="5"/>
  <c r="U127" i="5"/>
  <c r="V127" i="5"/>
  <c r="W127" i="5"/>
  <c r="T111" i="5"/>
  <c r="S126" i="5"/>
  <c r="T126" i="5"/>
  <c r="U126" i="5"/>
  <c r="V126" i="5"/>
  <c r="W126" i="5"/>
  <c r="R124" i="5"/>
  <c r="R123" i="5"/>
  <c r="S123" i="5"/>
  <c r="S122" i="5"/>
  <c r="R121" i="5"/>
  <c r="R119" i="5"/>
  <c r="S111" i="5"/>
  <c r="U111" i="5"/>
  <c r="V111" i="5"/>
  <c r="W111" i="5"/>
  <c r="S110" i="5"/>
  <c r="T110" i="5"/>
  <c r="U110" i="5"/>
  <c r="V110" i="5"/>
  <c r="W110" i="5"/>
  <c r="R110" i="5"/>
  <c r="R107" i="5"/>
  <c r="S106" i="5"/>
  <c r="S104" i="5"/>
  <c r="T102" i="5"/>
  <c r="R101" i="5"/>
  <c r="R100" i="5"/>
  <c r="R99" i="5"/>
  <c r="R98" i="5"/>
  <c r="R95" i="5"/>
  <c r="R94" i="5"/>
  <c r="R93" i="5"/>
  <c r="N22" i="6"/>
  <c r="O22" i="6"/>
  <c r="P22" i="6"/>
  <c r="Q22" i="6"/>
  <c r="R22" i="6"/>
  <c r="N23" i="6"/>
  <c r="O23" i="6"/>
  <c r="P23" i="6"/>
  <c r="Q23" i="6"/>
  <c r="R23" i="6"/>
  <c r="N24" i="6"/>
  <c r="O24" i="6"/>
  <c r="P24" i="6"/>
  <c r="Q24" i="6"/>
  <c r="R24" i="6"/>
  <c r="N25" i="6"/>
  <c r="O25" i="6"/>
  <c r="P25" i="6"/>
  <c r="Q25" i="6"/>
  <c r="R25" i="6"/>
  <c r="N26" i="6"/>
  <c r="O26" i="6"/>
  <c r="P26" i="6"/>
  <c r="Q26" i="6"/>
  <c r="R26" i="6"/>
  <c r="N27" i="6"/>
  <c r="O27" i="6"/>
  <c r="P27" i="6"/>
  <c r="Q27" i="6"/>
  <c r="R27" i="6"/>
  <c r="N28" i="6"/>
  <c r="O28" i="6"/>
  <c r="P28" i="6"/>
  <c r="Q28" i="6"/>
  <c r="R28" i="6"/>
  <c r="N29" i="6"/>
  <c r="O29" i="6"/>
  <c r="P29" i="6"/>
  <c r="Q29" i="6"/>
  <c r="R29" i="6"/>
  <c r="N30" i="6"/>
  <c r="O30" i="6"/>
  <c r="P30" i="6"/>
  <c r="Q30" i="6"/>
  <c r="R30" i="6"/>
  <c r="N31" i="6"/>
  <c r="O31" i="6"/>
  <c r="P31" i="6"/>
  <c r="Q31" i="6"/>
  <c r="R31" i="6"/>
  <c r="N32" i="6"/>
  <c r="O32" i="6"/>
  <c r="P32" i="6"/>
  <c r="Q32" i="6"/>
  <c r="R32" i="6"/>
  <c r="N33" i="6"/>
  <c r="O33" i="6"/>
  <c r="P33" i="6"/>
  <c r="Q33" i="6"/>
  <c r="R33" i="6"/>
  <c r="N34" i="6"/>
  <c r="O34" i="6"/>
  <c r="P34" i="6"/>
  <c r="Q34" i="6"/>
  <c r="R34" i="6"/>
  <c r="N35" i="6"/>
  <c r="O35" i="6"/>
  <c r="P35" i="6"/>
  <c r="Q35" i="6"/>
  <c r="R35" i="6"/>
  <c r="N36" i="6"/>
  <c r="O36" i="6"/>
  <c r="P36" i="6"/>
  <c r="Q36" i="6"/>
  <c r="R36" i="6"/>
  <c r="N37" i="6"/>
  <c r="O37" i="6"/>
  <c r="P37" i="6"/>
  <c r="Q37" i="6"/>
  <c r="R37" i="6"/>
  <c r="N38" i="6"/>
  <c r="O38" i="6"/>
  <c r="P38" i="6"/>
  <c r="Q38" i="6"/>
  <c r="R38" i="6"/>
  <c r="N39" i="6"/>
  <c r="O39" i="6"/>
  <c r="P39" i="6"/>
  <c r="Q39" i="6"/>
  <c r="R39" i="6"/>
  <c r="N40" i="6"/>
  <c r="O40" i="6"/>
  <c r="P40" i="6"/>
  <c r="Q40" i="6"/>
  <c r="R40" i="6"/>
  <c r="N41" i="6"/>
  <c r="O41" i="6"/>
  <c r="P41" i="6"/>
  <c r="Q41" i="6"/>
  <c r="R41" i="6"/>
  <c r="N42" i="6"/>
  <c r="O42" i="6"/>
  <c r="P42" i="6"/>
  <c r="Q42" i="6"/>
  <c r="R42" i="6"/>
  <c r="N43" i="6"/>
  <c r="O43" i="6"/>
  <c r="P43" i="6"/>
  <c r="Q43" i="6"/>
  <c r="R43" i="6"/>
  <c r="N44" i="6"/>
  <c r="O44" i="6"/>
  <c r="P44" i="6"/>
  <c r="Q44" i="6"/>
  <c r="R44" i="6"/>
  <c r="N45" i="6"/>
  <c r="O45" i="6"/>
  <c r="P45" i="6"/>
  <c r="Q45" i="6"/>
  <c r="R45" i="6"/>
  <c r="N46" i="6"/>
  <c r="O46" i="6"/>
  <c r="P46" i="6"/>
  <c r="Q46" i="6"/>
  <c r="R46" i="6"/>
  <c r="N47" i="6"/>
  <c r="O47" i="6"/>
  <c r="P47" i="6"/>
  <c r="Q47" i="6"/>
  <c r="R47" i="6"/>
  <c r="N48" i="6"/>
  <c r="O48" i="6"/>
  <c r="P48" i="6"/>
  <c r="Q48" i="6"/>
  <c r="R48" i="6"/>
  <c r="N49" i="6"/>
  <c r="O49" i="6"/>
  <c r="P49" i="6"/>
  <c r="Q49" i="6"/>
  <c r="R49" i="6"/>
  <c r="N50" i="6"/>
  <c r="O50" i="6"/>
  <c r="P50" i="6"/>
  <c r="Q50" i="6"/>
  <c r="N51" i="6"/>
  <c r="O51" i="6"/>
  <c r="P51" i="6"/>
  <c r="Q51" i="6"/>
  <c r="R51" i="6"/>
  <c r="N52" i="6"/>
  <c r="O52" i="6"/>
  <c r="P52" i="6"/>
  <c r="Q52" i="6"/>
  <c r="R52" i="6"/>
  <c r="N53" i="6"/>
  <c r="O53" i="6"/>
  <c r="P53" i="6"/>
  <c r="Q53" i="6"/>
  <c r="R53" i="6"/>
  <c r="N54" i="6"/>
  <c r="O54" i="6"/>
  <c r="P54" i="6"/>
  <c r="Q54" i="6"/>
  <c r="R54" i="6"/>
  <c r="N55" i="6"/>
  <c r="O55" i="6"/>
  <c r="P55" i="6"/>
  <c r="Q55" i="6"/>
  <c r="R55" i="6"/>
  <c r="N56" i="6"/>
  <c r="O56" i="6"/>
  <c r="P56" i="6"/>
  <c r="Q56" i="6"/>
  <c r="R56" i="6"/>
  <c r="N57" i="6"/>
  <c r="O57" i="6"/>
  <c r="P57" i="6"/>
  <c r="Q57" i="6"/>
  <c r="R57" i="6"/>
  <c r="N58" i="6"/>
  <c r="O58" i="6"/>
  <c r="P58" i="6"/>
  <c r="Q58" i="6"/>
  <c r="R58" i="6"/>
  <c r="N59" i="6"/>
  <c r="O59" i="6"/>
  <c r="P59" i="6"/>
  <c r="Q59" i="6"/>
  <c r="R59" i="6"/>
  <c r="N60" i="6"/>
  <c r="O60" i="6"/>
  <c r="P60" i="6"/>
  <c r="Q60" i="6"/>
  <c r="R60" i="6"/>
  <c r="N61" i="6"/>
  <c r="O61" i="6"/>
  <c r="P61" i="6"/>
  <c r="Q61" i="6"/>
  <c r="N62" i="6"/>
  <c r="O62" i="6"/>
  <c r="P62" i="6"/>
  <c r="Q62" i="6"/>
  <c r="R62" i="6"/>
  <c r="N63" i="6"/>
  <c r="O63" i="6"/>
  <c r="P63" i="6"/>
  <c r="Q63" i="6"/>
  <c r="R63" i="6"/>
  <c r="N64" i="6"/>
  <c r="O64" i="6"/>
  <c r="P64" i="6"/>
  <c r="Q64" i="6"/>
  <c r="N65" i="6"/>
  <c r="O65" i="6"/>
  <c r="P65" i="6"/>
  <c r="Q65" i="6"/>
  <c r="N66" i="6"/>
  <c r="O66" i="6"/>
  <c r="P66" i="6"/>
  <c r="Q66" i="6"/>
  <c r="R66" i="6"/>
  <c r="N67" i="6"/>
  <c r="O67" i="6"/>
  <c r="P67" i="6"/>
  <c r="Q67" i="6"/>
  <c r="R67" i="6"/>
  <c r="N68" i="6"/>
  <c r="O68" i="6"/>
  <c r="P68" i="6"/>
  <c r="Q68" i="6"/>
  <c r="R68" i="6"/>
  <c r="N69" i="6"/>
  <c r="O69" i="6"/>
  <c r="P69" i="6"/>
  <c r="Q69" i="6"/>
  <c r="R69" i="6"/>
  <c r="N70" i="6"/>
  <c r="O70" i="6"/>
  <c r="P70" i="6"/>
  <c r="Q70" i="6"/>
  <c r="R70" i="6"/>
  <c r="N71" i="6"/>
  <c r="O71" i="6"/>
  <c r="P71" i="6"/>
  <c r="Q71" i="6"/>
  <c r="R71" i="6"/>
  <c r="N72" i="6"/>
  <c r="O72" i="6"/>
  <c r="P72" i="6"/>
  <c r="Q72" i="6"/>
  <c r="R72" i="6"/>
  <c r="N73" i="6"/>
  <c r="O73" i="6"/>
  <c r="R73" i="6"/>
  <c r="N74" i="6"/>
  <c r="O74" i="6"/>
  <c r="P74" i="6"/>
  <c r="Q74" i="6"/>
  <c r="R74" i="6"/>
  <c r="N75" i="6"/>
  <c r="O75" i="6"/>
  <c r="P75" i="6"/>
  <c r="Q75" i="6"/>
  <c r="R75" i="6"/>
  <c r="O76" i="6"/>
  <c r="P76" i="6"/>
  <c r="Q76" i="6"/>
  <c r="R76" i="6"/>
  <c r="N77" i="6"/>
  <c r="O77" i="6"/>
  <c r="P77" i="6"/>
  <c r="Q77" i="6"/>
  <c r="R77" i="6"/>
  <c r="N78" i="6"/>
  <c r="O78" i="6"/>
  <c r="P78" i="6"/>
  <c r="Q78" i="6"/>
  <c r="R78" i="6"/>
  <c r="N79" i="6"/>
  <c r="O79" i="6"/>
  <c r="P79" i="6"/>
  <c r="Q79" i="6"/>
  <c r="R79" i="6"/>
  <c r="N80" i="6"/>
  <c r="O80" i="6"/>
  <c r="P80" i="6"/>
  <c r="Q80" i="6"/>
  <c r="R80" i="6"/>
  <c r="N81" i="6"/>
  <c r="O81" i="6"/>
  <c r="P81" i="6"/>
  <c r="Q81" i="6"/>
  <c r="R81" i="6"/>
  <c r="O82" i="6"/>
  <c r="N83" i="6"/>
  <c r="O83" i="6"/>
  <c r="P83" i="6"/>
  <c r="Q83" i="6"/>
  <c r="R83" i="6"/>
  <c r="N84" i="6"/>
  <c r="O84" i="6"/>
  <c r="P84" i="6"/>
  <c r="Q84" i="6"/>
  <c r="R84" i="6"/>
  <c r="N85" i="6"/>
  <c r="O85" i="6"/>
  <c r="P85" i="6"/>
  <c r="Q85" i="6"/>
  <c r="R85" i="6"/>
  <c r="N86" i="6"/>
  <c r="O86" i="6"/>
  <c r="P86" i="6"/>
  <c r="Q86" i="6"/>
  <c r="R86" i="6"/>
  <c r="N87" i="6"/>
  <c r="O87" i="6"/>
  <c r="P87" i="6"/>
  <c r="Q87" i="6"/>
  <c r="R87" i="6"/>
  <c r="N88" i="6"/>
  <c r="O88" i="6"/>
  <c r="P88" i="6"/>
  <c r="Q88" i="6"/>
  <c r="R88" i="6"/>
  <c r="N89" i="6"/>
  <c r="O89" i="6"/>
  <c r="P89" i="6"/>
  <c r="Q89" i="6"/>
  <c r="R89" i="6"/>
  <c r="N90" i="6"/>
  <c r="O90" i="6"/>
  <c r="P90" i="6"/>
  <c r="Q90" i="6"/>
  <c r="R90" i="6"/>
  <c r="N91" i="6"/>
  <c r="O91" i="6"/>
  <c r="P91" i="6"/>
  <c r="Q91" i="6"/>
  <c r="R91" i="6"/>
  <c r="N92" i="6"/>
  <c r="O92" i="6"/>
  <c r="P92" i="6"/>
  <c r="Q92" i="6"/>
  <c r="R92" i="6"/>
  <c r="N93" i="6"/>
  <c r="O93" i="6"/>
  <c r="P93" i="6"/>
  <c r="Q93" i="6"/>
  <c r="N94" i="6"/>
  <c r="O94" i="6"/>
  <c r="P94" i="6"/>
  <c r="Q94" i="6"/>
  <c r="N95" i="6"/>
  <c r="O95" i="6"/>
  <c r="P95" i="6"/>
  <c r="Q95" i="6"/>
  <c r="R95" i="6"/>
  <c r="N96" i="6"/>
  <c r="O96" i="6"/>
  <c r="P96" i="6"/>
  <c r="Q96" i="6"/>
  <c r="R96" i="6"/>
  <c r="N97" i="6"/>
  <c r="O97" i="6"/>
  <c r="P97" i="6"/>
  <c r="Q97" i="6"/>
  <c r="R97" i="6"/>
  <c r="N98" i="6"/>
  <c r="O98" i="6"/>
  <c r="P98" i="6"/>
  <c r="Q98" i="6"/>
  <c r="N99" i="6"/>
  <c r="O99" i="6"/>
  <c r="P99" i="6"/>
  <c r="Q99" i="6"/>
  <c r="R99" i="6"/>
  <c r="N100" i="6"/>
  <c r="O100" i="6"/>
  <c r="P100" i="6"/>
  <c r="Q100" i="6"/>
  <c r="N101" i="6"/>
  <c r="O101" i="6"/>
  <c r="P101" i="6"/>
  <c r="Q101" i="6"/>
  <c r="N102" i="6"/>
  <c r="O102" i="6"/>
  <c r="P102" i="6"/>
  <c r="Q102" i="6"/>
  <c r="N103" i="6"/>
  <c r="O103" i="6"/>
  <c r="P103" i="6"/>
  <c r="Q103" i="6"/>
  <c r="R103" i="6"/>
  <c r="N104" i="6"/>
  <c r="O104" i="6"/>
  <c r="P104" i="6"/>
  <c r="Q104" i="6"/>
  <c r="R104" i="6"/>
  <c r="N105" i="6"/>
  <c r="O105" i="6"/>
  <c r="P105" i="6"/>
  <c r="Q105" i="6"/>
  <c r="R105" i="6"/>
  <c r="N106" i="6"/>
  <c r="O106" i="6"/>
  <c r="P106" i="6"/>
  <c r="Q106" i="6"/>
  <c r="N107" i="6"/>
  <c r="O107" i="6"/>
  <c r="P107" i="6"/>
  <c r="Q107" i="6"/>
  <c r="N108" i="6"/>
  <c r="O108" i="6"/>
  <c r="P108" i="6"/>
  <c r="Q108" i="6"/>
  <c r="R108" i="6"/>
  <c r="N109" i="6"/>
  <c r="O109" i="6"/>
  <c r="P109" i="6"/>
  <c r="Q109" i="6"/>
  <c r="N110" i="6"/>
  <c r="O110" i="6"/>
  <c r="P110" i="6"/>
  <c r="Q110" i="6"/>
  <c r="N111" i="6"/>
  <c r="O111" i="6"/>
  <c r="P111" i="6"/>
  <c r="Q111" i="6"/>
  <c r="N112" i="6"/>
  <c r="O112" i="6"/>
  <c r="P112" i="6"/>
  <c r="Q112" i="6"/>
  <c r="R112" i="6"/>
  <c r="N113" i="6"/>
  <c r="O113" i="6"/>
  <c r="P113" i="6"/>
  <c r="Q113" i="6"/>
  <c r="R113" i="6"/>
  <c r="N114" i="6"/>
  <c r="O114" i="6"/>
  <c r="P114" i="6"/>
  <c r="Q114" i="6"/>
  <c r="R114" i="6"/>
  <c r="N115" i="6"/>
  <c r="O115" i="6"/>
  <c r="P115" i="6"/>
  <c r="Q115" i="6"/>
  <c r="R115" i="6"/>
  <c r="N116" i="6"/>
  <c r="O116" i="6"/>
  <c r="P116" i="6"/>
  <c r="Q116" i="6"/>
  <c r="N117" i="6"/>
  <c r="O117" i="6"/>
  <c r="P117" i="6"/>
  <c r="Q117" i="6"/>
  <c r="R117" i="6"/>
  <c r="N118" i="6"/>
  <c r="O118" i="6"/>
  <c r="P118" i="6"/>
  <c r="Q118" i="6"/>
  <c r="R118" i="6"/>
  <c r="N119" i="6"/>
  <c r="O119" i="6"/>
  <c r="P119" i="6"/>
  <c r="Q119" i="6"/>
  <c r="N120" i="6"/>
  <c r="O120" i="6"/>
  <c r="P120" i="6"/>
  <c r="Q120" i="6"/>
  <c r="R120" i="6"/>
  <c r="N121" i="6"/>
  <c r="O121" i="6"/>
  <c r="P121" i="6"/>
  <c r="Q121" i="6"/>
  <c r="N122" i="6"/>
  <c r="O122" i="6"/>
  <c r="P122" i="6"/>
  <c r="Q122" i="6"/>
  <c r="N123" i="6"/>
  <c r="O123" i="6"/>
  <c r="P123" i="6"/>
  <c r="Q123" i="6"/>
  <c r="N124" i="6"/>
  <c r="O124" i="6"/>
  <c r="P124" i="6"/>
  <c r="Q124" i="6"/>
  <c r="R124" i="6"/>
  <c r="N125" i="6"/>
  <c r="O125" i="6"/>
  <c r="P125" i="6"/>
  <c r="Q125" i="6"/>
  <c r="N126" i="6"/>
  <c r="O126" i="6"/>
  <c r="P126" i="6"/>
  <c r="Q126" i="6"/>
  <c r="N127" i="6"/>
  <c r="O127" i="6"/>
  <c r="P127" i="6"/>
  <c r="Q127" i="6"/>
  <c r="N128" i="6"/>
  <c r="O128" i="6"/>
  <c r="P128" i="6"/>
  <c r="Q128" i="6"/>
  <c r="N129" i="6"/>
  <c r="O129" i="6"/>
  <c r="P129" i="6"/>
  <c r="Q129" i="6"/>
  <c r="N130" i="6"/>
  <c r="O130" i="6"/>
  <c r="P130" i="6"/>
  <c r="Q130" i="6"/>
  <c r="R130" i="6"/>
  <c r="N131" i="6"/>
  <c r="O131" i="6"/>
  <c r="P131" i="6"/>
  <c r="Q131" i="6"/>
  <c r="R131" i="6"/>
  <c r="N132" i="6"/>
  <c r="O132" i="6"/>
  <c r="P132" i="6"/>
  <c r="Q132" i="6"/>
  <c r="N133" i="6"/>
  <c r="O133" i="6"/>
  <c r="P133" i="6"/>
  <c r="Q133" i="6"/>
  <c r="R133" i="6"/>
  <c r="N134" i="6"/>
  <c r="O134" i="6"/>
  <c r="P134" i="6"/>
  <c r="Q134" i="6"/>
  <c r="R134" i="6"/>
  <c r="N135" i="6"/>
  <c r="O135" i="6"/>
  <c r="P135" i="6"/>
  <c r="Q135" i="6"/>
  <c r="N136" i="6"/>
  <c r="O136" i="6"/>
  <c r="P136" i="6"/>
  <c r="Q136" i="6"/>
  <c r="R136" i="6"/>
  <c r="N137" i="6"/>
  <c r="O137" i="6"/>
  <c r="P137" i="6"/>
  <c r="Q137" i="6"/>
  <c r="R137" i="6"/>
  <c r="N138" i="6"/>
  <c r="O138" i="6"/>
  <c r="P138" i="6"/>
  <c r="Q138" i="6"/>
  <c r="N139" i="6"/>
  <c r="O139" i="6"/>
  <c r="P139" i="6"/>
  <c r="Q139" i="6"/>
  <c r="R139" i="6"/>
  <c r="N140" i="6"/>
  <c r="O140" i="6"/>
  <c r="P140" i="6"/>
  <c r="Q140" i="6"/>
  <c r="R140" i="6"/>
  <c r="N141" i="6"/>
  <c r="O141" i="6"/>
  <c r="P141" i="6"/>
  <c r="Q141" i="6"/>
  <c r="N142" i="6"/>
  <c r="O142" i="6"/>
  <c r="P142" i="6"/>
  <c r="Q142" i="6"/>
  <c r="R142" i="6"/>
  <c r="N143" i="6"/>
  <c r="O143" i="6"/>
  <c r="P143" i="6"/>
  <c r="Q143" i="6"/>
  <c r="R143" i="6"/>
  <c r="N144" i="6"/>
  <c r="O144" i="6"/>
  <c r="P144" i="6"/>
  <c r="Q144" i="6"/>
  <c r="N145" i="6"/>
  <c r="O145" i="6"/>
  <c r="P145" i="6"/>
  <c r="Q145" i="6"/>
  <c r="N146" i="6"/>
  <c r="O146" i="6"/>
  <c r="P146" i="6"/>
  <c r="Q146" i="6"/>
  <c r="N147" i="6"/>
  <c r="O147" i="6"/>
  <c r="P147" i="6"/>
  <c r="Q147" i="6"/>
  <c r="R147" i="6"/>
  <c r="N148" i="6"/>
  <c r="O148" i="6"/>
  <c r="P148" i="6"/>
  <c r="Q148" i="6"/>
  <c r="N149" i="6"/>
  <c r="O149" i="6"/>
  <c r="P149" i="6"/>
  <c r="Q149" i="6"/>
  <c r="N150" i="6"/>
  <c r="O150" i="6"/>
  <c r="P150" i="6"/>
  <c r="Q150" i="6"/>
  <c r="R150" i="6"/>
  <c r="N151" i="6"/>
  <c r="O151" i="6"/>
  <c r="P151" i="6"/>
  <c r="Q151" i="6"/>
  <c r="R151" i="6"/>
  <c r="N152" i="6"/>
  <c r="O152" i="6"/>
  <c r="P152" i="6"/>
  <c r="Q152" i="6"/>
  <c r="N153" i="6"/>
  <c r="O153" i="6"/>
  <c r="P153" i="6"/>
  <c r="Q153" i="6"/>
  <c r="N154" i="6"/>
  <c r="O154" i="6"/>
  <c r="P154" i="6"/>
  <c r="Q154" i="6"/>
  <c r="N155" i="6"/>
  <c r="O155" i="6"/>
  <c r="P155" i="6"/>
  <c r="Q155" i="6"/>
  <c r="R155" i="6"/>
  <c r="N156" i="6"/>
  <c r="O156" i="6"/>
  <c r="P156" i="6"/>
  <c r="Q156" i="6"/>
  <c r="R156" i="6"/>
  <c r="N157" i="6"/>
  <c r="O157" i="6"/>
  <c r="P157" i="6"/>
  <c r="Q157" i="6"/>
  <c r="R157" i="6"/>
  <c r="N158" i="6"/>
  <c r="O158" i="6"/>
  <c r="P158" i="6"/>
  <c r="Q158" i="6"/>
  <c r="R158" i="6"/>
  <c r="N159" i="6"/>
  <c r="O159" i="6"/>
  <c r="P159" i="6"/>
  <c r="Q159" i="6"/>
  <c r="N160" i="6"/>
  <c r="O160" i="6"/>
  <c r="P160" i="6"/>
  <c r="Q160" i="6"/>
  <c r="R160" i="6"/>
  <c r="N161" i="6"/>
  <c r="O161" i="6"/>
  <c r="P161" i="6"/>
  <c r="Q161" i="6"/>
  <c r="R161" i="6"/>
  <c r="N162" i="6"/>
  <c r="O162" i="6"/>
  <c r="P162" i="6"/>
  <c r="Q162" i="6"/>
  <c r="R162" i="6"/>
  <c r="N163" i="6"/>
  <c r="O163" i="6"/>
  <c r="P163" i="6"/>
  <c r="Q163" i="6"/>
  <c r="N164" i="6"/>
  <c r="O164" i="6"/>
  <c r="P164" i="6"/>
  <c r="Q164" i="6"/>
  <c r="N165" i="6"/>
  <c r="O165" i="6"/>
  <c r="P165" i="6"/>
  <c r="Q165" i="6"/>
  <c r="R165" i="6"/>
  <c r="N166" i="6"/>
  <c r="O166" i="6"/>
  <c r="P166" i="6"/>
  <c r="Q166" i="6"/>
  <c r="N167" i="6"/>
  <c r="O167" i="6"/>
  <c r="P167" i="6"/>
  <c r="Q167" i="6"/>
  <c r="R167" i="6"/>
  <c r="N168" i="6"/>
  <c r="O168" i="6"/>
  <c r="P168" i="6"/>
  <c r="Q168" i="6"/>
  <c r="N169" i="6"/>
  <c r="O169" i="6"/>
  <c r="P169" i="6"/>
  <c r="Q169" i="6"/>
  <c r="R169" i="6"/>
  <c r="N170" i="6"/>
  <c r="O170" i="6"/>
  <c r="P170" i="6"/>
  <c r="Q170" i="6"/>
  <c r="R170" i="6"/>
  <c r="N171" i="6"/>
  <c r="O171" i="6"/>
  <c r="P171" i="6"/>
  <c r="Q171" i="6"/>
  <c r="N172" i="6"/>
  <c r="O172" i="6"/>
  <c r="P172" i="6"/>
  <c r="Q172" i="6"/>
  <c r="R172" i="6"/>
  <c r="N173" i="6"/>
  <c r="O173" i="6"/>
  <c r="P173" i="6"/>
  <c r="Q173" i="6"/>
  <c r="R173" i="6"/>
  <c r="N174" i="6"/>
  <c r="O174" i="6"/>
  <c r="P174" i="6"/>
  <c r="Q174" i="6"/>
  <c r="R174" i="6"/>
  <c r="N175" i="6"/>
  <c r="O175" i="6"/>
  <c r="P175" i="6"/>
  <c r="Q175" i="6"/>
  <c r="N176" i="6"/>
  <c r="O176" i="6"/>
  <c r="P176" i="6"/>
  <c r="Q176" i="6"/>
  <c r="N177" i="6"/>
  <c r="O177" i="6"/>
  <c r="P177" i="6"/>
  <c r="Q177" i="6"/>
  <c r="R177" i="6"/>
  <c r="N178" i="6"/>
  <c r="O178" i="6"/>
  <c r="P178" i="6"/>
  <c r="Q178" i="6"/>
  <c r="N179" i="6"/>
  <c r="O179" i="6"/>
  <c r="P179" i="6"/>
  <c r="Q179" i="6"/>
  <c r="R179" i="6"/>
  <c r="N180" i="6"/>
  <c r="O180" i="6"/>
  <c r="P180" i="6"/>
  <c r="Q180" i="6"/>
  <c r="R180" i="6"/>
  <c r="N181" i="6"/>
  <c r="O181" i="6"/>
  <c r="P181" i="6"/>
  <c r="Q181" i="6"/>
  <c r="R181" i="6"/>
  <c r="N182" i="6"/>
  <c r="O182" i="6"/>
  <c r="P182" i="6"/>
  <c r="Q182" i="6"/>
  <c r="N183" i="6"/>
  <c r="O183" i="6"/>
  <c r="P183" i="6"/>
  <c r="Q183" i="6"/>
  <c r="N184" i="6"/>
  <c r="O184" i="6"/>
  <c r="P184" i="6"/>
  <c r="Q184" i="6"/>
  <c r="N185" i="6"/>
  <c r="O185" i="6"/>
  <c r="P185" i="6"/>
  <c r="Q185" i="6"/>
  <c r="R185" i="6"/>
  <c r="N186" i="6"/>
  <c r="O186" i="6"/>
  <c r="P186" i="6"/>
  <c r="Q186" i="6"/>
  <c r="R186" i="6"/>
  <c r="N187" i="6"/>
  <c r="O187" i="6"/>
  <c r="P187" i="6"/>
  <c r="Q187" i="6"/>
  <c r="R187" i="6"/>
  <c r="N188" i="6"/>
  <c r="O188" i="6"/>
  <c r="P188" i="6"/>
  <c r="Q188" i="6"/>
  <c r="R188" i="6"/>
  <c r="N189" i="6"/>
  <c r="O189" i="6"/>
  <c r="P189" i="6"/>
  <c r="Q189" i="6"/>
  <c r="R189" i="6"/>
  <c r="N190" i="6"/>
  <c r="O190" i="6"/>
  <c r="P190" i="6"/>
  <c r="Q190" i="6"/>
  <c r="R190" i="6"/>
  <c r="N191" i="6"/>
  <c r="O191" i="6"/>
  <c r="P191" i="6"/>
  <c r="Q191" i="6"/>
  <c r="R191" i="6"/>
  <c r="N192" i="6"/>
  <c r="O192" i="6"/>
  <c r="P192" i="6"/>
  <c r="Q192" i="6"/>
  <c r="R192" i="6"/>
  <c r="N193" i="6"/>
  <c r="O193" i="6"/>
  <c r="P193" i="6"/>
  <c r="Q193" i="6"/>
  <c r="R193" i="6"/>
  <c r="N194" i="6"/>
  <c r="O194" i="6"/>
  <c r="P194" i="6"/>
  <c r="Q194" i="6"/>
  <c r="N195" i="6"/>
  <c r="O195" i="6"/>
  <c r="P195" i="6"/>
  <c r="Q195" i="6"/>
  <c r="R195" i="6"/>
  <c r="N196" i="6"/>
  <c r="O196" i="6"/>
  <c r="P196" i="6"/>
  <c r="Q196" i="6"/>
  <c r="R196" i="6"/>
  <c r="N197" i="6"/>
  <c r="O197" i="6"/>
  <c r="P197" i="6"/>
  <c r="Q197" i="6"/>
  <c r="N198" i="6"/>
  <c r="O198" i="6"/>
  <c r="P198" i="6"/>
  <c r="Q198" i="6"/>
  <c r="R198" i="6"/>
  <c r="N199" i="6"/>
  <c r="O199" i="6"/>
  <c r="P199" i="6"/>
  <c r="Q199" i="6"/>
  <c r="R199" i="6"/>
  <c r="N200" i="6"/>
  <c r="O200" i="6"/>
  <c r="P200" i="6"/>
  <c r="Q200" i="6"/>
  <c r="R200" i="6"/>
  <c r="N201" i="6"/>
  <c r="O201" i="6"/>
  <c r="P201" i="6"/>
  <c r="Q201" i="6"/>
  <c r="N202" i="6"/>
  <c r="O202" i="6"/>
  <c r="P202" i="6"/>
  <c r="Q202" i="6"/>
  <c r="R202" i="6"/>
  <c r="N203" i="6"/>
  <c r="O203" i="6"/>
  <c r="P203" i="6"/>
  <c r="Q203" i="6"/>
  <c r="R203" i="6"/>
  <c r="N204" i="6"/>
  <c r="O204" i="6"/>
  <c r="P204" i="6"/>
  <c r="Q204" i="6"/>
  <c r="R204" i="6"/>
  <c r="N205" i="6"/>
  <c r="O205" i="6"/>
  <c r="P205" i="6"/>
  <c r="Q205" i="6"/>
  <c r="N206" i="6"/>
  <c r="O206" i="6"/>
  <c r="P206" i="6"/>
  <c r="Q206" i="6"/>
  <c r="N207" i="6"/>
  <c r="O207" i="6"/>
  <c r="P207" i="6"/>
  <c r="Q207" i="6"/>
  <c r="N208" i="6"/>
  <c r="O208" i="6"/>
  <c r="P208" i="6"/>
  <c r="Q208" i="6"/>
  <c r="R208" i="6"/>
  <c r="N209" i="6"/>
  <c r="O209" i="6"/>
  <c r="P209" i="6"/>
  <c r="Q209" i="6"/>
  <c r="N210" i="6"/>
  <c r="O210" i="6"/>
  <c r="P210" i="6"/>
  <c r="Q210" i="6"/>
  <c r="R210" i="6"/>
  <c r="N211" i="6"/>
  <c r="O211" i="6"/>
  <c r="P211" i="6"/>
  <c r="Q211" i="6"/>
  <c r="R211" i="6"/>
  <c r="N212" i="6"/>
  <c r="O212" i="6"/>
  <c r="P212" i="6"/>
  <c r="Q212" i="6"/>
  <c r="R212" i="6"/>
  <c r="R214" i="6"/>
  <c r="N215" i="6"/>
  <c r="O215" i="6"/>
  <c r="P215" i="6"/>
  <c r="Q215" i="6"/>
  <c r="R215" i="6"/>
  <c r="N217" i="6"/>
  <c r="O217" i="6"/>
  <c r="P217" i="6"/>
  <c r="Q217" i="6"/>
  <c r="R217" i="6"/>
  <c r="R21" i="6"/>
  <c r="Q21" i="6"/>
  <c r="P21" i="6"/>
  <c r="O21" i="6"/>
  <c r="N21" i="6"/>
  <c r="N3" i="6"/>
  <c r="O3" i="6"/>
  <c r="P3" i="6"/>
  <c r="Q3" i="6"/>
  <c r="R3" i="6"/>
  <c r="N4" i="6"/>
  <c r="O4" i="6"/>
  <c r="P4" i="6"/>
  <c r="Q4" i="6"/>
  <c r="R4" i="6"/>
  <c r="N5" i="6"/>
  <c r="O5" i="6"/>
  <c r="P5" i="6"/>
  <c r="Q5" i="6"/>
  <c r="R5" i="6"/>
  <c r="N6" i="6"/>
  <c r="O6" i="6"/>
  <c r="P6" i="6"/>
  <c r="Q6" i="6"/>
  <c r="R6" i="6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0" i="6"/>
  <c r="O10" i="6"/>
  <c r="P10" i="6"/>
  <c r="Q10" i="6"/>
  <c r="R10" i="6"/>
  <c r="N11" i="6"/>
  <c r="O11" i="6"/>
  <c r="P11" i="6"/>
  <c r="Q11" i="6"/>
  <c r="R11" i="6"/>
  <c r="N12" i="6"/>
  <c r="O12" i="6"/>
  <c r="P12" i="6"/>
  <c r="Q12" i="6"/>
  <c r="R12" i="6"/>
  <c r="N13" i="6"/>
  <c r="O13" i="6"/>
  <c r="P13" i="6"/>
  <c r="Q13" i="6"/>
  <c r="R13" i="6"/>
  <c r="N14" i="6"/>
  <c r="O14" i="6"/>
  <c r="P14" i="6"/>
  <c r="Q14" i="6"/>
  <c r="R14" i="6"/>
  <c r="N15" i="6"/>
  <c r="O15" i="6"/>
  <c r="P15" i="6"/>
  <c r="Q15" i="6"/>
  <c r="R15" i="6"/>
  <c r="N16" i="6"/>
  <c r="O16" i="6"/>
  <c r="P16" i="6"/>
  <c r="Q16" i="6"/>
  <c r="R16" i="6"/>
  <c r="N17" i="6"/>
  <c r="O17" i="6"/>
  <c r="P17" i="6"/>
  <c r="Q17" i="6"/>
  <c r="R17" i="6"/>
  <c r="R2" i="6"/>
  <c r="Q2" i="6"/>
  <c r="P2" i="6"/>
  <c r="O2" i="6"/>
  <c r="N2" i="6"/>
  <c r="T181" i="5"/>
  <c r="T81" i="5"/>
  <c r="S74" i="5"/>
  <c r="R71" i="5"/>
  <c r="R70" i="5"/>
  <c r="R69" i="5"/>
  <c r="X69" i="5" s="1"/>
  <c r="L111" i="5"/>
  <c r="J203" i="5"/>
  <c r="J206" i="5"/>
  <c r="J205" i="5"/>
  <c r="J202" i="5"/>
  <c r="J201" i="5"/>
  <c r="J200" i="5"/>
  <c r="J199" i="5"/>
  <c r="J197" i="5"/>
  <c r="J186" i="5"/>
  <c r="J185" i="5"/>
  <c r="J184" i="5"/>
  <c r="J183" i="5"/>
  <c r="J182" i="5"/>
  <c r="L80" i="5"/>
  <c r="L81" i="5"/>
  <c r="L180" i="5"/>
  <c r="L181" i="5"/>
  <c r="J179" i="5"/>
  <c r="J178" i="5"/>
  <c r="J177" i="5"/>
  <c r="J176" i="5"/>
  <c r="J175" i="5"/>
  <c r="J174" i="5"/>
  <c r="J168" i="5"/>
  <c r="J167" i="5"/>
  <c r="J166" i="5"/>
  <c r="J165" i="5"/>
  <c r="J164" i="5"/>
  <c r="J162" i="5"/>
  <c r="J154" i="5"/>
  <c r="K154" i="5"/>
  <c r="K153" i="5"/>
  <c r="J152" i="5"/>
  <c r="J148" i="5"/>
  <c r="J146" i="5"/>
  <c r="J145" i="5"/>
  <c r="J144" i="5"/>
  <c r="K140" i="5"/>
  <c r="J138" i="5"/>
  <c r="J135" i="5"/>
  <c r="K127" i="5"/>
  <c r="L127" i="5"/>
  <c r="M127" i="5"/>
  <c r="N127" i="5"/>
  <c r="O127" i="5"/>
  <c r="K126" i="5"/>
  <c r="L126" i="5"/>
  <c r="M126" i="5"/>
  <c r="N126" i="5"/>
  <c r="O126" i="5"/>
  <c r="J124" i="5"/>
  <c r="J123" i="5"/>
  <c r="K123" i="5"/>
  <c r="K122" i="5"/>
  <c r="J121" i="5"/>
  <c r="J120" i="5"/>
  <c r="J119" i="5"/>
  <c r="K111" i="5"/>
  <c r="M111" i="5"/>
  <c r="N111" i="5"/>
  <c r="O111" i="5"/>
  <c r="K110" i="5"/>
  <c r="L110" i="5"/>
  <c r="M110" i="5"/>
  <c r="N110" i="5"/>
  <c r="O110" i="5"/>
  <c r="J108" i="5"/>
  <c r="J107" i="5"/>
  <c r="K106" i="5"/>
  <c r="K105" i="5"/>
  <c r="K104" i="5"/>
  <c r="L102" i="5"/>
  <c r="J101" i="5"/>
  <c r="J100" i="5"/>
  <c r="J99" i="5"/>
  <c r="P99" i="5" s="1"/>
  <c r="L99" i="6" s="1"/>
  <c r="J98" i="5"/>
  <c r="J97" i="5"/>
  <c r="J96" i="5"/>
  <c r="J95" i="5"/>
  <c r="J94" i="5"/>
  <c r="J93" i="5"/>
  <c r="K74" i="5"/>
  <c r="J71" i="5"/>
  <c r="J70" i="5"/>
  <c r="J69" i="5"/>
  <c r="H22" i="6"/>
  <c r="I22" i="6"/>
  <c r="J22" i="6"/>
  <c r="K22" i="6"/>
  <c r="L22" i="6"/>
  <c r="H23" i="6"/>
  <c r="I23" i="6"/>
  <c r="J23" i="6"/>
  <c r="K23" i="6"/>
  <c r="L23" i="6"/>
  <c r="H24" i="6"/>
  <c r="I24" i="6"/>
  <c r="J24" i="6"/>
  <c r="K24" i="6"/>
  <c r="L24" i="6"/>
  <c r="H25" i="6"/>
  <c r="I25" i="6"/>
  <c r="J25" i="6"/>
  <c r="K25" i="6"/>
  <c r="L25" i="6"/>
  <c r="H26" i="6"/>
  <c r="I26" i="6"/>
  <c r="J26" i="6"/>
  <c r="K26" i="6"/>
  <c r="L26" i="6"/>
  <c r="H27" i="6"/>
  <c r="I27" i="6"/>
  <c r="J27" i="6"/>
  <c r="K27" i="6"/>
  <c r="L27" i="6"/>
  <c r="H28" i="6"/>
  <c r="I28" i="6"/>
  <c r="J28" i="6"/>
  <c r="K28" i="6"/>
  <c r="L28" i="6"/>
  <c r="H29" i="6"/>
  <c r="I29" i="6"/>
  <c r="J29" i="6"/>
  <c r="K29" i="6"/>
  <c r="L29" i="6"/>
  <c r="H30" i="6"/>
  <c r="I30" i="6"/>
  <c r="J30" i="6"/>
  <c r="K30" i="6"/>
  <c r="L30" i="6"/>
  <c r="H31" i="6"/>
  <c r="I31" i="6"/>
  <c r="J31" i="6"/>
  <c r="K31" i="6"/>
  <c r="L31" i="6"/>
  <c r="H32" i="6"/>
  <c r="I32" i="6"/>
  <c r="J32" i="6"/>
  <c r="K32" i="6"/>
  <c r="L32" i="6"/>
  <c r="H33" i="6"/>
  <c r="I33" i="6"/>
  <c r="J33" i="6"/>
  <c r="K33" i="6"/>
  <c r="L33" i="6"/>
  <c r="H34" i="6"/>
  <c r="I34" i="6"/>
  <c r="J34" i="6"/>
  <c r="K34" i="6"/>
  <c r="L34" i="6"/>
  <c r="H35" i="6"/>
  <c r="I35" i="6"/>
  <c r="J35" i="6"/>
  <c r="K35" i="6"/>
  <c r="L35" i="6"/>
  <c r="H36" i="6"/>
  <c r="I36" i="6"/>
  <c r="J36" i="6"/>
  <c r="K36" i="6"/>
  <c r="L36" i="6"/>
  <c r="H37" i="6"/>
  <c r="I37" i="6"/>
  <c r="J37" i="6"/>
  <c r="K37" i="6"/>
  <c r="L37" i="6"/>
  <c r="H38" i="6"/>
  <c r="I38" i="6"/>
  <c r="J38" i="6"/>
  <c r="K38" i="6"/>
  <c r="L38" i="6"/>
  <c r="H39" i="6"/>
  <c r="I39" i="6"/>
  <c r="J39" i="6"/>
  <c r="K39" i="6"/>
  <c r="L39" i="6"/>
  <c r="H40" i="6"/>
  <c r="I40" i="6"/>
  <c r="J40" i="6"/>
  <c r="K40" i="6"/>
  <c r="L40" i="6"/>
  <c r="H41" i="6"/>
  <c r="I41" i="6"/>
  <c r="J41" i="6"/>
  <c r="K41" i="6"/>
  <c r="L41" i="6"/>
  <c r="H42" i="6"/>
  <c r="I42" i="6"/>
  <c r="J42" i="6"/>
  <c r="K42" i="6"/>
  <c r="L42" i="6"/>
  <c r="H43" i="6"/>
  <c r="I43" i="6"/>
  <c r="J43" i="6"/>
  <c r="K43" i="6"/>
  <c r="L43" i="6"/>
  <c r="H44" i="6"/>
  <c r="I44" i="6"/>
  <c r="J44" i="6"/>
  <c r="K44" i="6"/>
  <c r="L44" i="6"/>
  <c r="H45" i="6"/>
  <c r="I45" i="6"/>
  <c r="J45" i="6"/>
  <c r="K45" i="6"/>
  <c r="L45" i="6"/>
  <c r="H46" i="6"/>
  <c r="I46" i="6"/>
  <c r="J46" i="6"/>
  <c r="K46" i="6"/>
  <c r="L46" i="6"/>
  <c r="H47" i="6"/>
  <c r="I47" i="6"/>
  <c r="J47" i="6"/>
  <c r="K47" i="6"/>
  <c r="L47" i="6"/>
  <c r="H48" i="6"/>
  <c r="I48" i="6"/>
  <c r="J48" i="6"/>
  <c r="K48" i="6"/>
  <c r="L48" i="6"/>
  <c r="H49" i="6"/>
  <c r="I49" i="6"/>
  <c r="J49" i="6"/>
  <c r="K49" i="6"/>
  <c r="H50" i="6"/>
  <c r="I50" i="6"/>
  <c r="J50" i="6"/>
  <c r="K50" i="6"/>
  <c r="H51" i="6"/>
  <c r="I51" i="6"/>
  <c r="J51" i="6"/>
  <c r="K51" i="6"/>
  <c r="L51" i="6"/>
  <c r="H52" i="6"/>
  <c r="I52" i="6"/>
  <c r="J52" i="6"/>
  <c r="K52" i="6"/>
  <c r="L52" i="6"/>
  <c r="H53" i="6"/>
  <c r="I53" i="6"/>
  <c r="J53" i="6"/>
  <c r="K53" i="6"/>
  <c r="L53" i="6"/>
  <c r="H54" i="6"/>
  <c r="I54" i="6"/>
  <c r="J54" i="6"/>
  <c r="K54" i="6"/>
  <c r="L54" i="6"/>
  <c r="H55" i="6"/>
  <c r="I55" i="6"/>
  <c r="J55" i="6"/>
  <c r="K55" i="6"/>
  <c r="L55" i="6"/>
  <c r="H56" i="6"/>
  <c r="I56" i="6"/>
  <c r="J56" i="6"/>
  <c r="K56" i="6"/>
  <c r="L56" i="6"/>
  <c r="H57" i="6"/>
  <c r="I57" i="6"/>
  <c r="J57" i="6"/>
  <c r="K57" i="6"/>
  <c r="L57" i="6"/>
  <c r="H58" i="6"/>
  <c r="I58" i="6"/>
  <c r="J58" i="6"/>
  <c r="K58" i="6"/>
  <c r="L58" i="6"/>
  <c r="H59" i="6"/>
  <c r="I59" i="6"/>
  <c r="J59" i="6"/>
  <c r="K59" i="6"/>
  <c r="L59" i="6"/>
  <c r="H60" i="6"/>
  <c r="I60" i="6"/>
  <c r="J60" i="6"/>
  <c r="K60" i="6"/>
  <c r="L60" i="6"/>
  <c r="H61" i="6"/>
  <c r="I61" i="6"/>
  <c r="J61" i="6"/>
  <c r="K61" i="6"/>
  <c r="H62" i="6"/>
  <c r="I62" i="6"/>
  <c r="J62" i="6"/>
  <c r="K62" i="6"/>
  <c r="L62" i="6"/>
  <c r="H63" i="6"/>
  <c r="I63" i="6"/>
  <c r="J63" i="6"/>
  <c r="K63" i="6"/>
  <c r="L63" i="6"/>
  <c r="H64" i="6"/>
  <c r="I64" i="6"/>
  <c r="J64" i="6"/>
  <c r="K64" i="6"/>
  <c r="H65" i="6"/>
  <c r="I65" i="6"/>
  <c r="J65" i="6"/>
  <c r="K65" i="6"/>
  <c r="H66" i="6"/>
  <c r="I66" i="6"/>
  <c r="J66" i="6"/>
  <c r="K66" i="6"/>
  <c r="L66" i="6"/>
  <c r="H67" i="6"/>
  <c r="I67" i="6"/>
  <c r="J67" i="6"/>
  <c r="K67" i="6"/>
  <c r="L67" i="6"/>
  <c r="H68" i="6"/>
  <c r="I68" i="6"/>
  <c r="J68" i="6"/>
  <c r="K68" i="6"/>
  <c r="L68" i="6"/>
  <c r="H69" i="6"/>
  <c r="I69" i="6"/>
  <c r="J69" i="6"/>
  <c r="K69" i="6"/>
  <c r="H70" i="6"/>
  <c r="I70" i="6"/>
  <c r="J70" i="6"/>
  <c r="K70" i="6"/>
  <c r="H71" i="6"/>
  <c r="I71" i="6"/>
  <c r="J71" i="6"/>
  <c r="K71" i="6"/>
  <c r="H72" i="6"/>
  <c r="I72" i="6"/>
  <c r="J72" i="6"/>
  <c r="K72" i="6"/>
  <c r="L72" i="6"/>
  <c r="H73" i="6"/>
  <c r="I73" i="6"/>
  <c r="L73" i="6"/>
  <c r="H74" i="6"/>
  <c r="I74" i="6"/>
  <c r="J74" i="6"/>
  <c r="K74" i="6"/>
  <c r="L74" i="6"/>
  <c r="H75" i="6"/>
  <c r="I75" i="6"/>
  <c r="J75" i="6"/>
  <c r="K75" i="6"/>
  <c r="L75" i="6"/>
  <c r="I76" i="6"/>
  <c r="J76" i="6"/>
  <c r="K76" i="6"/>
  <c r="L76" i="6"/>
  <c r="H77" i="6"/>
  <c r="I77" i="6"/>
  <c r="J77" i="6"/>
  <c r="K77" i="6"/>
  <c r="L77" i="6"/>
  <c r="H78" i="6"/>
  <c r="H79" i="6"/>
  <c r="I79" i="6"/>
  <c r="J79" i="6"/>
  <c r="K79" i="6"/>
  <c r="L79" i="6"/>
  <c r="H80" i="6"/>
  <c r="I80" i="6"/>
  <c r="J80" i="6"/>
  <c r="K80" i="6"/>
  <c r="L80" i="6"/>
  <c r="H81" i="6"/>
  <c r="I81" i="6"/>
  <c r="J81" i="6"/>
  <c r="K81" i="6"/>
  <c r="H83" i="6"/>
  <c r="I83" i="6"/>
  <c r="J83" i="6"/>
  <c r="K83" i="6"/>
  <c r="L83" i="6"/>
  <c r="H84" i="6"/>
  <c r="I84" i="6"/>
  <c r="J84" i="6"/>
  <c r="K84" i="6"/>
  <c r="L84" i="6"/>
  <c r="H85" i="6"/>
  <c r="I85" i="6"/>
  <c r="J85" i="6"/>
  <c r="K85" i="6"/>
  <c r="L85" i="6"/>
  <c r="H86" i="6"/>
  <c r="I86" i="6"/>
  <c r="J86" i="6"/>
  <c r="K86" i="6"/>
  <c r="L86" i="6"/>
  <c r="H87" i="6"/>
  <c r="I87" i="6"/>
  <c r="J87" i="6"/>
  <c r="K87" i="6"/>
  <c r="L87" i="6"/>
  <c r="H88" i="6"/>
  <c r="I88" i="6"/>
  <c r="J88" i="6"/>
  <c r="K88" i="6"/>
  <c r="L88" i="6"/>
  <c r="H89" i="6"/>
  <c r="I89" i="6"/>
  <c r="J89" i="6"/>
  <c r="K89" i="6"/>
  <c r="L89" i="6"/>
  <c r="H90" i="6"/>
  <c r="I90" i="6"/>
  <c r="J90" i="6"/>
  <c r="K90" i="6"/>
  <c r="L90" i="6"/>
  <c r="H91" i="6"/>
  <c r="I91" i="6"/>
  <c r="J91" i="6"/>
  <c r="K91" i="6"/>
  <c r="L91" i="6"/>
  <c r="H92" i="6"/>
  <c r="I92" i="6"/>
  <c r="J92" i="6"/>
  <c r="K92" i="6"/>
  <c r="L92" i="6"/>
  <c r="H93" i="6"/>
  <c r="I93" i="6"/>
  <c r="J93" i="6"/>
  <c r="K93" i="6"/>
  <c r="H94" i="6"/>
  <c r="I94" i="6"/>
  <c r="J94" i="6"/>
  <c r="K94" i="6"/>
  <c r="L94" i="6"/>
  <c r="H95" i="6"/>
  <c r="I95" i="6"/>
  <c r="J95" i="6"/>
  <c r="K95" i="6"/>
  <c r="H96" i="6"/>
  <c r="I96" i="6"/>
  <c r="J96" i="6"/>
  <c r="K96" i="6"/>
  <c r="H97" i="6"/>
  <c r="I97" i="6"/>
  <c r="J97" i="6"/>
  <c r="K97" i="6"/>
  <c r="H98" i="6"/>
  <c r="I98" i="6"/>
  <c r="J98" i="6"/>
  <c r="K98" i="6"/>
  <c r="H99" i="6"/>
  <c r="I99" i="6"/>
  <c r="J99" i="6"/>
  <c r="K99" i="6"/>
  <c r="H100" i="6"/>
  <c r="I100" i="6"/>
  <c r="J100" i="6"/>
  <c r="K100" i="6"/>
  <c r="H101" i="6"/>
  <c r="I101" i="6"/>
  <c r="J101" i="6"/>
  <c r="K101" i="6"/>
  <c r="H102" i="6"/>
  <c r="I102" i="6"/>
  <c r="J102" i="6"/>
  <c r="K102" i="6"/>
  <c r="L102" i="6"/>
  <c r="H103" i="6"/>
  <c r="I103" i="6"/>
  <c r="J103" i="6"/>
  <c r="K103" i="6"/>
  <c r="L103" i="6"/>
  <c r="H104" i="6"/>
  <c r="I104" i="6"/>
  <c r="J104" i="6"/>
  <c r="K104" i="6"/>
  <c r="H105" i="6"/>
  <c r="I105" i="6"/>
  <c r="J105" i="6"/>
  <c r="K105" i="6"/>
  <c r="H106" i="6"/>
  <c r="I106" i="6"/>
  <c r="J106" i="6"/>
  <c r="K106" i="6"/>
  <c r="H107" i="6"/>
  <c r="I107" i="6"/>
  <c r="J107" i="6"/>
  <c r="K107" i="6"/>
  <c r="H108" i="6"/>
  <c r="I108" i="6"/>
  <c r="J108" i="6"/>
  <c r="K108" i="6"/>
  <c r="H109" i="6"/>
  <c r="I109" i="6"/>
  <c r="J109" i="6"/>
  <c r="K109" i="6"/>
  <c r="H110" i="6"/>
  <c r="I110" i="6"/>
  <c r="J110" i="6"/>
  <c r="K110" i="6"/>
  <c r="H111" i="6"/>
  <c r="I111" i="6"/>
  <c r="J111" i="6"/>
  <c r="K111" i="6"/>
  <c r="H112" i="6"/>
  <c r="I112" i="6"/>
  <c r="J112" i="6"/>
  <c r="K112" i="6"/>
  <c r="H113" i="6"/>
  <c r="I113" i="6"/>
  <c r="J113" i="6"/>
  <c r="K113" i="6"/>
  <c r="L113" i="6"/>
  <c r="H114" i="6"/>
  <c r="I114" i="6"/>
  <c r="J114" i="6"/>
  <c r="K114" i="6"/>
  <c r="L114" i="6"/>
  <c r="H115" i="6"/>
  <c r="I115" i="6"/>
  <c r="J115" i="6"/>
  <c r="K115" i="6"/>
  <c r="L115" i="6"/>
  <c r="H116" i="6"/>
  <c r="I116" i="6"/>
  <c r="J116" i="6"/>
  <c r="K116" i="6"/>
  <c r="H117" i="6"/>
  <c r="I117" i="6"/>
  <c r="J117" i="6"/>
  <c r="K117" i="6"/>
  <c r="L117" i="6"/>
  <c r="H118" i="6"/>
  <c r="I118" i="6"/>
  <c r="J118" i="6"/>
  <c r="K118" i="6"/>
  <c r="L118" i="6"/>
  <c r="H119" i="6"/>
  <c r="I119" i="6"/>
  <c r="J119" i="6"/>
  <c r="K119" i="6"/>
  <c r="H120" i="6"/>
  <c r="I120" i="6"/>
  <c r="J120" i="6"/>
  <c r="K120" i="6"/>
  <c r="L120" i="6"/>
  <c r="H121" i="6"/>
  <c r="I121" i="6"/>
  <c r="J121" i="6"/>
  <c r="K121" i="6"/>
  <c r="H122" i="6"/>
  <c r="I122" i="6"/>
  <c r="J122" i="6"/>
  <c r="K122" i="6"/>
  <c r="H123" i="6"/>
  <c r="I123" i="6"/>
  <c r="J123" i="6"/>
  <c r="K123" i="6"/>
  <c r="H124" i="6"/>
  <c r="I124" i="6"/>
  <c r="J124" i="6"/>
  <c r="K124" i="6"/>
  <c r="H125" i="6"/>
  <c r="I125" i="6"/>
  <c r="J125" i="6"/>
  <c r="K125" i="6"/>
  <c r="H126" i="6"/>
  <c r="I126" i="6"/>
  <c r="J126" i="6"/>
  <c r="K126" i="6"/>
  <c r="H127" i="6"/>
  <c r="I127" i="6"/>
  <c r="J127" i="6"/>
  <c r="K127" i="6"/>
  <c r="H128" i="6"/>
  <c r="I128" i="6"/>
  <c r="J128" i="6"/>
  <c r="K128" i="6"/>
  <c r="H129" i="6"/>
  <c r="I129" i="6"/>
  <c r="J129" i="6"/>
  <c r="K129" i="6"/>
  <c r="H130" i="6"/>
  <c r="I130" i="6"/>
  <c r="J130" i="6"/>
  <c r="K130" i="6"/>
  <c r="L130" i="6"/>
  <c r="H131" i="6"/>
  <c r="I131" i="6"/>
  <c r="J131" i="6"/>
  <c r="K131" i="6"/>
  <c r="L131" i="6"/>
  <c r="H132" i="6"/>
  <c r="I132" i="6"/>
  <c r="J132" i="6"/>
  <c r="K132" i="6"/>
  <c r="H133" i="6"/>
  <c r="I133" i="6"/>
  <c r="J133" i="6"/>
  <c r="K133" i="6"/>
  <c r="L133" i="6"/>
  <c r="H134" i="6"/>
  <c r="I134" i="6"/>
  <c r="J134" i="6"/>
  <c r="K134" i="6"/>
  <c r="L134" i="6"/>
  <c r="H135" i="6"/>
  <c r="I135" i="6"/>
  <c r="J135" i="6"/>
  <c r="K135" i="6"/>
  <c r="L135" i="6"/>
  <c r="H136" i="6"/>
  <c r="I136" i="6"/>
  <c r="J136" i="6"/>
  <c r="K136" i="6"/>
  <c r="H137" i="6"/>
  <c r="I137" i="6"/>
  <c r="J137" i="6"/>
  <c r="H138" i="6"/>
  <c r="I138" i="6"/>
  <c r="J138" i="6"/>
  <c r="K138" i="6"/>
  <c r="H139" i="6"/>
  <c r="I139" i="6"/>
  <c r="J139" i="6"/>
  <c r="K139" i="6"/>
  <c r="L139" i="6"/>
  <c r="H140" i="6"/>
  <c r="I140" i="6"/>
  <c r="J140" i="6"/>
  <c r="K140" i="6"/>
  <c r="H141" i="6"/>
  <c r="I141" i="6"/>
  <c r="J141" i="6"/>
  <c r="H142" i="6"/>
  <c r="I142" i="6"/>
  <c r="J142" i="6"/>
  <c r="K142" i="6"/>
  <c r="L142" i="6"/>
  <c r="H143" i="6"/>
  <c r="I143" i="6"/>
  <c r="J143" i="6"/>
  <c r="K143" i="6"/>
  <c r="L143" i="6"/>
  <c r="H144" i="6"/>
  <c r="I144" i="6"/>
  <c r="J144" i="6"/>
  <c r="K144" i="6"/>
  <c r="H145" i="6"/>
  <c r="I145" i="6"/>
  <c r="J145" i="6"/>
  <c r="K145" i="6"/>
  <c r="H146" i="6"/>
  <c r="I146" i="6"/>
  <c r="J146" i="6"/>
  <c r="K146" i="6"/>
  <c r="H147" i="6"/>
  <c r="I147" i="6"/>
  <c r="J147" i="6"/>
  <c r="K147" i="6"/>
  <c r="H148" i="6"/>
  <c r="I148" i="6"/>
  <c r="J148" i="6"/>
  <c r="K148" i="6"/>
  <c r="H149" i="6"/>
  <c r="I149" i="6"/>
  <c r="J149" i="6"/>
  <c r="K149" i="6"/>
  <c r="H150" i="6"/>
  <c r="I150" i="6"/>
  <c r="J150" i="6"/>
  <c r="K150" i="6"/>
  <c r="L150" i="6"/>
  <c r="H151" i="6"/>
  <c r="I151" i="6"/>
  <c r="J151" i="6"/>
  <c r="K151" i="6"/>
  <c r="L151" i="6"/>
  <c r="H152" i="6"/>
  <c r="I152" i="6"/>
  <c r="J152" i="6"/>
  <c r="K152" i="6"/>
  <c r="H153" i="6"/>
  <c r="I153" i="6"/>
  <c r="J153" i="6"/>
  <c r="K153" i="6"/>
  <c r="H154" i="6"/>
  <c r="I154" i="6"/>
  <c r="J154" i="6"/>
  <c r="K154" i="6"/>
  <c r="H155" i="6"/>
  <c r="I155" i="6"/>
  <c r="J155" i="6"/>
  <c r="K155" i="6"/>
  <c r="L155" i="6"/>
  <c r="H156" i="6"/>
  <c r="I156" i="6"/>
  <c r="J156" i="6"/>
  <c r="K156" i="6"/>
  <c r="L156" i="6"/>
  <c r="H157" i="6"/>
  <c r="I157" i="6"/>
  <c r="J157" i="6"/>
  <c r="K157" i="6"/>
  <c r="L157" i="6"/>
  <c r="H158" i="6"/>
  <c r="I158" i="6"/>
  <c r="J158" i="6"/>
  <c r="K158" i="6"/>
  <c r="L158" i="6"/>
  <c r="H159" i="6"/>
  <c r="I159" i="6"/>
  <c r="J159" i="6"/>
  <c r="K159" i="6"/>
  <c r="H160" i="6"/>
  <c r="I160" i="6"/>
  <c r="J160" i="6"/>
  <c r="K160" i="6"/>
  <c r="L160" i="6"/>
  <c r="H161" i="6"/>
  <c r="I161" i="6"/>
  <c r="J161" i="6"/>
  <c r="K161" i="6"/>
  <c r="L161" i="6"/>
  <c r="H162" i="6"/>
  <c r="I162" i="6"/>
  <c r="J162" i="6"/>
  <c r="K162" i="6"/>
  <c r="H163" i="6"/>
  <c r="I163" i="6"/>
  <c r="J163" i="6"/>
  <c r="K163" i="6"/>
  <c r="L163" i="6"/>
  <c r="H164" i="6"/>
  <c r="I164" i="6"/>
  <c r="J164" i="6"/>
  <c r="K164" i="6"/>
  <c r="H165" i="6"/>
  <c r="I165" i="6"/>
  <c r="J165" i="6"/>
  <c r="K165" i="6"/>
  <c r="H166" i="6"/>
  <c r="I166" i="6"/>
  <c r="J166" i="6"/>
  <c r="K166" i="6"/>
  <c r="L166" i="6"/>
  <c r="H167" i="6"/>
  <c r="I167" i="6"/>
  <c r="J167" i="6"/>
  <c r="K167" i="6"/>
  <c r="H168" i="6"/>
  <c r="I168" i="6"/>
  <c r="J168" i="6"/>
  <c r="K168" i="6"/>
  <c r="H169" i="6"/>
  <c r="I169" i="6"/>
  <c r="J169" i="6"/>
  <c r="K169" i="6"/>
  <c r="H170" i="6"/>
  <c r="I170" i="6"/>
  <c r="J170" i="6"/>
  <c r="K170" i="6"/>
  <c r="L170" i="6"/>
  <c r="H171" i="6"/>
  <c r="I171" i="6"/>
  <c r="J171" i="6"/>
  <c r="K171" i="6"/>
  <c r="H172" i="6"/>
  <c r="I172" i="6"/>
  <c r="J172" i="6"/>
  <c r="K172" i="6"/>
  <c r="L172" i="6"/>
  <c r="H173" i="6"/>
  <c r="I173" i="6"/>
  <c r="J173" i="6"/>
  <c r="K173" i="6"/>
  <c r="L173" i="6"/>
  <c r="H174" i="6"/>
  <c r="I174" i="6"/>
  <c r="J174" i="6"/>
  <c r="K174" i="6"/>
  <c r="H175" i="6"/>
  <c r="I175" i="6"/>
  <c r="J175" i="6"/>
  <c r="K175" i="6"/>
  <c r="L175" i="6"/>
  <c r="H176" i="6"/>
  <c r="I176" i="6"/>
  <c r="J176" i="6"/>
  <c r="K176" i="6"/>
  <c r="H177" i="6"/>
  <c r="I177" i="6"/>
  <c r="J177" i="6"/>
  <c r="K177" i="6"/>
  <c r="H178" i="6"/>
  <c r="I178" i="6"/>
  <c r="J178" i="6"/>
  <c r="K178" i="6"/>
  <c r="H179" i="6"/>
  <c r="I179" i="6"/>
  <c r="J179" i="6"/>
  <c r="K179" i="6"/>
  <c r="H180" i="6"/>
  <c r="I180" i="6"/>
  <c r="J180" i="6"/>
  <c r="K180" i="6"/>
  <c r="L180" i="6"/>
  <c r="H181" i="6"/>
  <c r="I181" i="6"/>
  <c r="J181" i="6"/>
  <c r="K181" i="6"/>
  <c r="H182" i="6"/>
  <c r="I182" i="6"/>
  <c r="J182" i="6"/>
  <c r="K182" i="6"/>
  <c r="H183" i="6"/>
  <c r="I183" i="6"/>
  <c r="J183" i="6"/>
  <c r="K183" i="6"/>
  <c r="H184" i="6"/>
  <c r="I184" i="6"/>
  <c r="J184" i="6"/>
  <c r="K184" i="6"/>
  <c r="L184" i="6"/>
  <c r="H185" i="6"/>
  <c r="I185" i="6"/>
  <c r="J185" i="6"/>
  <c r="K185" i="6"/>
  <c r="H186" i="6"/>
  <c r="I186" i="6"/>
  <c r="J186" i="6"/>
  <c r="K186" i="6"/>
  <c r="H187" i="6"/>
  <c r="I187" i="6"/>
  <c r="J187" i="6"/>
  <c r="K187" i="6"/>
  <c r="L187" i="6"/>
  <c r="H188" i="6"/>
  <c r="I188" i="6"/>
  <c r="J188" i="6"/>
  <c r="K188" i="6"/>
  <c r="L188" i="6"/>
  <c r="H189" i="6"/>
  <c r="I189" i="6"/>
  <c r="J189" i="6"/>
  <c r="K189" i="6"/>
  <c r="L189" i="6"/>
  <c r="H190" i="6"/>
  <c r="I190" i="6"/>
  <c r="J190" i="6"/>
  <c r="K190" i="6"/>
  <c r="L190" i="6"/>
  <c r="H191" i="6"/>
  <c r="I191" i="6"/>
  <c r="J191" i="6"/>
  <c r="K191" i="6"/>
  <c r="L191" i="6"/>
  <c r="H192" i="6"/>
  <c r="I192" i="6"/>
  <c r="J192" i="6"/>
  <c r="K192" i="6"/>
  <c r="L192" i="6"/>
  <c r="H193" i="6"/>
  <c r="I193" i="6"/>
  <c r="J193" i="6"/>
  <c r="L193" i="6"/>
  <c r="H194" i="6"/>
  <c r="I194" i="6"/>
  <c r="J194" i="6"/>
  <c r="H195" i="6"/>
  <c r="I195" i="6"/>
  <c r="J195" i="6"/>
  <c r="K195" i="6"/>
  <c r="L195" i="6"/>
  <c r="H196" i="6"/>
  <c r="I196" i="6"/>
  <c r="J196" i="6"/>
  <c r="K196" i="6"/>
  <c r="L196" i="6"/>
  <c r="H197" i="6"/>
  <c r="I197" i="6"/>
  <c r="J197" i="6"/>
  <c r="K197" i="6"/>
  <c r="H198" i="6"/>
  <c r="I198" i="6"/>
  <c r="J198" i="6"/>
  <c r="K198" i="6"/>
  <c r="L198" i="6"/>
  <c r="H199" i="6"/>
  <c r="I199" i="6"/>
  <c r="J199" i="6"/>
  <c r="K199" i="6"/>
  <c r="H200" i="6"/>
  <c r="I200" i="6"/>
  <c r="J200" i="6"/>
  <c r="K200" i="6"/>
  <c r="H201" i="6"/>
  <c r="I201" i="6"/>
  <c r="J201" i="6"/>
  <c r="K201" i="6"/>
  <c r="L201" i="6"/>
  <c r="H202" i="6"/>
  <c r="I202" i="6"/>
  <c r="J202" i="6"/>
  <c r="K202" i="6"/>
  <c r="H203" i="6"/>
  <c r="I203" i="6"/>
  <c r="J203" i="6"/>
  <c r="K203" i="6"/>
  <c r="H204" i="6"/>
  <c r="I204" i="6"/>
  <c r="J204" i="6"/>
  <c r="K204" i="6"/>
  <c r="L204" i="6"/>
  <c r="H205" i="6"/>
  <c r="I205" i="6"/>
  <c r="J205" i="6"/>
  <c r="K205" i="6"/>
  <c r="L205" i="6"/>
  <c r="H206" i="6"/>
  <c r="I206" i="6"/>
  <c r="J206" i="6"/>
  <c r="K206" i="6"/>
  <c r="L206" i="6"/>
  <c r="H207" i="6"/>
  <c r="I207" i="6"/>
  <c r="J207" i="6"/>
  <c r="K207" i="6"/>
  <c r="H208" i="6"/>
  <c r="I208" i="6"/>
  <c r="J208" i="6"/>
  <c r="K208" i="6"/>
  <c r="L208" i="6"/>
  <c r="H209" i="6"/>
  <c r="I209" i="6"/>
  <c r="J209" i="6"/>
  <c r="H210" i="6"/>
  <c r="I210" i="6"/>
  <c r="J210" i="6"/>
  <c r="K210" i="6"/>
  <c r="L210" i="6"/>
  <c r="H211" i="6"/>
  <c r="I211" i="6"/>
  <c r="J211" i="6"/>
  <c r="K211" i="6"/>
  <c r="L211" i="6"/>
  <c r="H212" i="6"/>
  <c r="I212" i="6"/>
  <c r="J212" i="6"/>
  <c r="K212" i="6"/>
  <c r="L212" i="6"/>
  <c r="H213" i="6"/>
  <c r="I213" i="6"/>
  <c r="J213" i="6"/>
  <c r="K213" i="6"/>
  <c r="L213" i="6"/>
  <c r="H214" i="6"/>
  <c r="I214" i="6"/>
  <c r="J214" i="6"/>
  <c r="K214" i="6"/>
  <c r="L214" i="6"/>
  <c r="H215" i="6"/>
  <c r="I215" i="6"/>
  <c r="J215" i="6"/>
  <c r="K215" i="6"/>
  <c r="L215" i="6"/>
  <c r="H216" i="6"/>
  <c r="I216" i="6"/>
  <c r="J216" i="6"/>
  <c r="K216" i="6"/>
  <c r="H217" i="6"/>
  <c r="I217" i="6"/>
  <c r="J217" i="6"/>
  <c r="K217" i="6"/>
  <c r="L217" i="6"/>
  <c r="L21" i="6"/>
  <c r="K21" i="6"/>
  <c r="J21" i="6"/>
  <c r="I21" i="6"/>
  <c r="H21" i="6"/>
  <c r="H3" i="6"/>
  <c r="I3" i="6"/>
  <c r="J3" i="6"/>
  <c r="K3" i="6"/>
  <c r="L3" i="6"/>
  <c r="H4" i="6"/>
  <c r="I4" i="6"/>
  <c r="J4" i="6"/>
  <c r="K4" i="6"/>
  <c r="L4" i="6"/>
  <c r="H5" i="6"/>
  <c r="I5" i="6"/>
  <c r="J5" i="6"/>
  <c r="K5" i="6"/>
  <c r="L5" i="6"/>
  <c r="H6" i="6"/>
  <c r="I6" i="6"/>
  <c r="J6" i="6"/>
  <c r="K6" i="6"/>
  <c r="L6" i="6"/>
  <c r="H7" i="6"/>
  <c r="I7" i="6"/>
  <c r="J7" i="6"/>
  <c r="K7" i="6"/>
  <c r="L7" i="6"/>
  <c r="H8" i="6"/>
  <c r="I8" i="6"/>
  <c r="J8" i="6"/>
  <c r="K8" i="6"/>
  <c r="L8" i="6"/>
  <c r="H9" i="6"/>
  <c r="I9" i="6"/>
  <c r="J9" i="6"/>
  <c r="K9" i="6"/>
  <c r="L9" i="6"/>
  <c r="H10" i="6"/>
  <c r="I10" i="6"/>
  <c r="J10" i="6"/>
  <c r="K10" i="6"/>
  <c r="L10" i="6"/>
  <c r="H11" i="6"/>
  <c r="I11" i="6"/>
  <c r="J11" i="6"/>
  <c r="K11" i="6"/>
  <c r="L11" i="6"/>
  <c r="H12" i="6"/>
  <c r="I12" i="6"/>
  <c r="J12" i="6"/>
  <c r="K12" i="6"/>
  <c r="L12" i="6"/>
  <c r="H13" i="6"/>
  <c r="I13" i="6"/>
  <c r="J13" i="6"/>
  <c r="K13" i="6"/>
  <c r="L13" i="6"/>
  <c r="H14" i="6"/>
  <c r="I14" i="6"/>
  <c r="J14" i="6"/>
  <c r="K14" i="6"/>
  <c r="L14" i="6"/>
  <c r="H15" i="6"/>
  <c r="I15" i="6"/>
  <c r="J15" i="6"/>
  <c r="K15" i="6"/>
  <c r="L15" i="6"/>
  <c r="H16" i="6"/>
  <c r="I16" i="6"/>
  <c r="J16" i="6"/>
  <c r="K16" i="6"/>
  <c r="L16" i="6"/>
  <c r="H17" i="6"/>
  <c r="I17" i="6"/>
  <c r="J17" i="6"/>
  <c r="K17" i="6"/>
  <c r="L17" i="6"/>
  <c r="L2" i="6"/>
  <c r="K2" i="6"/>
  <c r="J2" i="6"/>
  <c r="I2" i="6"/>
  <c r="H2" i="6"/>
  <c r="B145" i="5"/>
  <c r="D3" i="6"/>
  <c r="E3" i="6"/>
  <c r="F3" i="6"/>
  <c r="D4" i="6"/>
  <c r="E4" i="6"/>
  <c r="F4" i="6"/>
  <c r="D5" i="6"/>
  <c r="E5" i="6"/>
  <c r="F5" i="6"/>
  <c r="D6" i="6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F2" i="6"/>
  <c r="E2" i="6"/>
  <c r="D2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C36" i="6"/>
  <c r="D36" i="6"/>
  <c r="E36" i="6"/>
  <c r="F36" i="6"/>
  <c r="C37" i="6"/>
  <c r="D37" i="6"/>
  <c r="E37" i="6"/>
  <c r="F37" i="6"/>
  <c r="C38" i="6"/>
  <c r="D38" i="6"/>
  <c r="E38" i="6"/>
  <c r="F38" i="6"/>
  <c r="C39" i="6"/>
  <c r="D39" i="6"/>
  <c r="E39" i="6"/>
  <c r="F39" i="6"/>
  <c r="C40" i="6"/>
  <c r="D40" i="6"/>
  <c r="E40" i="6"/>
  <c r="F40" i="6"/>
  <c r="C41" i="6"/>
  <c r="D41" i="6"/>
  <c r="E41" i="6"/>
  <c r="F41" i="6"/>
  <c r="C42" i="6"/>
  <c r="D42" i="6"/>
  <c r="E42" i="6"/>
  <c r="F42" i="6"/>
  <c r="C43" i="6"/>
  <c r="D43" i="6"/>
  <c r="E43" i="6"/>
  <c r="F43" i="6"/>
  <c r="C44" i="6"/>
  <c r="D44" i="6"/>
  <c r="E44" i="6"/>
  <c r="F44" i="6"/>
  <c r="C45" i="6"/>
  <c r="D45" i="6"/>
  <c r="E45" i="6"/>
  <c r="F45" i="6"/>
  <c r="C46" i="6"/>
  <c r="D46" i="6"/>
  <c r="E46" i="6"/>
  <c r="F46" i="6"/>
  <c r="C47" i="6"/>
  <c r="D47" i="6"/>
  <c r="E47" i="6"/>
  <c r="F47" i="6"/>
  <c r="C48" i="6"/>
  <c r="D48" i="6"/>
  <c r="E48" i="6"/>
  <c r="F48" i="6"/>
  <c r="C49" i="6"/>
  <c r="D49" i="6"/>
  <c r="E49" i="6"/>
  <c r="F49" i="6"/>
  <c r="C50" i="6"/>
  <c r="D50" i="6"/>
  <c r="E50" i="6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C62" i="6"/>
  <c r="D62" i="6"/>
  <c r="E62" i="6"/>
  <c r="F62" i="6"/>
  <c r="C63" i="6"/>
  <c r="D63" i="6"/>
  <c r="E63" i="6"/>
  <c r="F63" i="6"/>
  <c r="C64" i="6"/>
  <c r="D64" i="6"/>
  <c r="E64" i="6"/>
  <c r="C65" i="6"/>
  <c r="D65" i="6"/>
  <c r="E65" i="6"/>
  <c r="C66" i="6"/>
  <c r="D66" i="6"/>
  <c r="E66" i="6"/>
  <c r="F66" i="6"/>
  <c r="C67" i="6"/>
  <c r="D67" i="6"/>
  <c r="E67" i="6"/>
  <c r="F67" i="6"/>
  <c r="C68" i="6"/>
  <c r="D68" i="6"/>
  <c r="E68" i="6"/>
  <c r="F68" i="6"/>
  <c r="C69" i="6"/>
  <c r="D69" i="6"/>
  <c r="E69" i="6"/>
  <c r="F69" i="6"/>
  <c r="C70" i="6"/>
  <c r="D70" i="6"/>
  <c r="E70" i="6"/>
  <c r="F70" i="6"/>
  <c r="C71" i="6"/>
  <c r="D71" i="6"/>
  <c r="E71" i="6"/>
  <c r="F71" i="6"/>
  <c r="C72" i="6"/>
  <c r="D72" i="6"/>
  <c r="E72" i="6"/>
  <c r="F72" i="6"/>
  <c r="C73" i="6"/>
  <c r="E73" i="6"/>
  <c r="C74" i="6"/>
  <c r="D74" i="6"/>
  <c r="E74" i="6"/>
  <c r="F74" i="6"/>
  <c r="C75" i="6"/>
  <c r="D75" i="6"/>
  <c r="E75" i="6"/>
  <c r="F75" i="6"/>
  <c r="C76" i="6"/>
  <c r="D76" i="6"/>
  <c r="E76" i="6"/>
  <c r="F76" i="6"/>
  <c r="C77" i="6"/>
  <c r="D77" i="6"/>
  <c r="E77" i="6"/>
  <c r="F77" i="6"/>
  <c r="C78" i="6"/>
  <c r="D78" i="6"/>
  <c r="E78" i="6"/>
  <c r="F78" i="6"/>
  <c r="C79" i="6"/>
  <c r="D79" i="6"/>
  <c r="E79" i="6"/>
  <c r="F79" i="6"/>
  <c r="C80" i="6"/>
  <c r="D80" i="6"/>
  <c r="E80" i="6"/>
  <c r="F80" i="6"/>
  <c r="C81" i="6"/>
  <c r="D81" i="6"/>
  <c r="E81" i="6"/>
  <c r="F81" i="6"/>
  <c r="C82" i="6"/>
  <c r="C83" i="6"/>
  <c r="D83" i="6"/>
  <c r="E83" i="6"/>
  <c r="F83" i="6"/>
  <c r="C84" i="6"/>
  <c r="D84" i="6"/>
  <c r="E84" i="6"/>
  <c r="F84" i="6"/>
  <c r="C85" i="6"/>
  <c r="D85" i="6"/>
  <c r="E85" i="6"/>
  <c r="F85" i="6"/>
  <c r="C86" i="6"/>
  <c r="D86" i="6"/>
  <c r="E86" i="6"/>
  <c r="F86" i="6"/>
  <c r="C87" i="6"/>
  <c r="D87" i="6"/>
  <c r="E87" i="6"/>
  <c r="F87" i="6"/>
  <c r="C88" i="6"/>
  <c r="D88" i="6"/>
  <c r="E88" i="6"/>
  <c r="F88" i="6"/>
  <c r="C89" i="6"/>
  <c r="D89" i="6"/>
  <c r="E89" i="6"/>
  <c r="F89" i="6"/>
  <c r="C90" i="6"/>
  <c r="D90" i="6"/>
  <c r="E90" i="6"/>
  <c r="F90" i="6"/>
  <c r="C91" i="6"/>
  <c r="D91" i="6"/>
  <c r="E91" i="6"/>
  <c r="F91" i="6"/>
  <c r="C92" i="6"/>
  <c r="D92" i="6"/>
  <c r="E92" i="6"/>
  <c r="F92" i="6"/>
  <c r="C93" i="6"/>
  <c r="D93" i="6"/>
  <c r="E93" i="6"/>
  <c r="F93" i="6"/>
  <c r="C94" i="6"/>
  <c r="D94" i="6"/>
  <c r="E94" i="6"/>
  <c r="F94" i="6"/>
  <c r="C95" i="6"/>
  <c r="D95" i="6"/>
  <c r="E95" i="6"/>
  <c r="F95" i="6"/>
  <c r="C96" i="6"/>
  <c r="D96" i="6"/>
  <c r="E96" i="6"/>
  <c r="F96" i="6"/>
  <c r="C97" i="6"/>
  <c r="D97" i="6"/>
  <c r="E97" i="6"/>
  <c r="F97" i="6"/>
  <c r="C98" i="6"/>
  <c r="D98" i="6"/>
  <c r="E98" i="6"/>
  <c r="F98" i="6"/>
  <c r="C99" i="6"/>
  <c r="D99" i="6"/>
  <c r="E99" i="6"/>
  <c r="F99" i="6"/>
  <c r="C100" i="6"/>
  <c r="D100" i="6"/>
  <c r="E100" i="6"/>
  <c r="F100" i="6"/>
  <c r="C101" i="6"/>
  <c r="D101" i="6"/>
  <c r="E101" i="6"/>
  <c r="F101" i="6"/>
  <c r="C102" i="6"/>
  <c r="D102" i="6"/>
  <c r="E102" i="6"/>
  <c r="F102" i="6"/>
  <c r="C103" i="6"/>
  <c r="D103" i="6"/>
  <c r="E103" i="6"/>
  <c r="F103" i="6"/>
  <c r="C104" i="6"/>
  <c r="D104" i="6"/>
  <c r="E104" i="6"/>
  <c r="F104" i="6"/>
  <c r="C105" i="6"/>
  <c r="D105" i="6"/>
  <c r="E105" i="6"/>
  <c r="F105" i="6"/>
  <c r="C106" i="6"/>
  <c r="D106" i="6"/>
  <c r="E106" i="6"/>
  <c r="F106" i="6"/>
  <c r="C107" i="6"/>
  <c r="D107" i="6"/>
  <c r="E107" i="6"/>
  <c r="F107" i="6"/>
  <c r="C108" i="6"/>
  <c r="D108" i="6"/>
  <c r="E108" i="6"/>
  <c r="F108" i="6"/>
  <c r="C109" i="6"/>
  <c r="D109" i="6"/>
  <c r="E109" i="6"/>
  <c r="F109" i="6"/>
  <c r="C110" i="6"/>
  <c r="D110" i="6"/>
  <c r="E110" i="6"/>
  <c r="F110" i="6"/>
  <c r="C111" i="6"/>
  <c r="D111" i="6"/>
  <c r="E111" i="6"/>
  <c r="C112" i="6"/>
  <c r="D112" i="6"/>
  <c r="E112" i="6"/>
  <c r="F112" i="6"/>
  <c r="C113" i="6"/>
  <c r="D113" i="6"/>
  <c r="E113" i="6"/>
  <c r="F113" i="6"/>
  <c r="C114" i="6"/>
  <c r="D114" i="6"/>
  <c r="E114" i="6"/>
  <c r="F114" i="6"/>
  <c r="C115" i="6"/>
  <c r="D115" i="6"/>
  <c r="E115" i="6"/>
  <c r="F115" i="6"/>
  <c r="C116" i="6"/>
  <c r="D116" i="6"/>
  <c r="E116" i="6"/>
  <c r="C117" i="6"/>
  <c r="D117" i="6"/>
  <c r="E117" i="6"/>
  <c r="F117" i="6"/>
  <c r="C118" i="6"/>
  <c r="D118" i="6"/>
  <c r="E118" i="6"/>
  <c r="F118" i="6"/>
  <c r="C119" i="6"/>
  <c r="D119" i="6"/>
  <c r="E119" i="6"/>
  <c r="F119" i="6"/>
  <c r="C120" i="6"/>
  <c r="D120" i="6"/>
  <c r="E120" i="6"/>
  <c r="F120" i="6"/>
  <c r="C121" i="6"/>
  <c r="D121" i="6"/>
  <c r="E121" i="6"/>
  <c r="F121" i="6"/>
  <c r="C122" i="6"/>
  <c r="D122" i="6"/>
  <c r="E122" i="6"/>
  <c r="F122" i="6"/>
  <c r="C123" i="6"/>
  <c r="D123" i="6"/>
  <c r="E123" i="6"/>
  <c r="C124" i="6"/>
  <c r="D124" i="6"/>
  <c r="E124" i="6"/>
  <c r="F124" i="6"/>
  <c r="C125" i="6"/>
  <c r="D125" i="6"/>
  <c r="E125" i="6"/>
  <c r="C126" i="6"/>
  <c r="D126" i="6"/>
  <c r="E126" i="6"/>
  <c r="C127" i="6"/>
  <c r="D127" i="6"/>
  <c r="E127" i="6"/>
  <c r="C128" i="6"/>
  <c r="D128" i="6"/>
  <c r="E128" i="6"/>
  <c r="C129" i="6"/>
  <c r="D129" i="6"/>
  <c r="E129" i="6"/>
  <c r="C130" i="6"/>
  <c r="D130" i="6"/>
  <c r="E130" i="6"/>
  <c r="F130" i="6"/>
  <c r="C131" i="6"/>
  <c r="D131" i="6"/>
  <c r="E131" i="6"/>
  <c r="F131" i="6"/>
  <c r="C132" i="6"/>
  <c r="D132" i="6"/>
  <c r="E132" i="6"/>
  <c r="C133" i="6"/>
  <c r="D133" i="6"/>
  <c r="E133" i="6"/>
  <c r="F133" i="6"/>
  <c r="C134" i="6"/>
  <c r="D134" i="6"/>
  <c r="E134" i="6"/>
  <c r="F134" i="6"/>
  <c r="C135" i="6"/>
  <c r="D135" i="6"/>
  <c r="E135" i="6"/>
  <c r="F135" i="6"/>
  <c r="C136" i="6"/>
  <c r="D136" i="6"/>
  <c r="E136" i="6"/>
  <c r="F136" i="6"/>
  <c r="C137" i="6"/>
  <c r="D137" i="6"/>
  <c r="E137" i="6"/>
  <c r="F137" i="6"/>
  <c r="C138" i="6"/>
  <c r="D138" i="6"/>
  <c r="E138" i="6"/>
  <c r="F138" i="6"/>
  <c r="C139" i="6"/>
  <c r="D139" i="6"/>
  <c r="E139" i="6"/>
  <c r="F139" i="6"/>
  <c r="C140" i="6"/>
  <c r="D140" i="6"/>
  <c r="E140" i="6"/>
  <c r="F140" i="6"/>
  <c r="C141" i="6"/>
  <c r="D141" i="6"/>
  <c r="E141" i="6"/>
  <c r="F141" i="6"/>
  <c r="C142" i="6"/>
  <c r="D142" i="6"/>
  <c r="E142" i="6"/>
  <c r="F142" i="6"/>
  <c r="C143" i="6"/>
  <c r="D143" i="6"/>
  <c r="E143" i="6"/>
  <c r="F143" i="6"/>
  <c r="C144" i="6"/>
  <c r="D144" i="6"/>
  <c r="E144" i="6"/>
  <c r="F144" i="6"/>
  <c r="C145" i="6"/>
  <c r="D145" i="6"/>
  <c r="E145" i="6"/>
  <c r="C146" i="6"/>
  <c r="D146" i="6"/>
  <c r="E146" i="6"/>
  <c r="F146" i="6"/>
  <c r="C147" i="6"/>
  <c r="D147" i="6"/>
  <c r="E147" i="6"/>
  <c r="F147" i="6"/>
  <c r="C148" i="6"/>
  <c r="D148" i="6"/>
  <c r="E148" i="6"/>
  <c r="F148" i="6"/>
  <c r="C149" i="6"/>
  <c r="D149" i="6"/>
  <c r="E149" i="6"/>
  <c r="C150" i="6"/>
  <c r="D150" i="6"/>
  <c r="E150" i="6"/>
  <c r="F150" i="6"/>
  <c r="C151" i="6"/>
  <c r="D151" i="6"/>
  <c r="E151" i="6"/>
  <c r="F151" i="6"/>
  <c r="C152" i="6"/>
  <c r="D152" i="6"/>
  <c r="E152" i="6"/>
  <c r="F152" i="6"/>
  <c r="C153" i="6"/>
  <c r="D153" i="6"/>
  <c r="E153" i="6"/>
  <c r="F153" i="6"/>
  <c r="C154" i="6"/>
  <c r="D154" i="6"/>
  <c r="E154" i="6"/>
  <c r="F154" i="6"/>
  <c r="C155" i="6"/>
  <c r="D155" i="6"/>
  <c r="E155" i="6"/>
  <c r="F155" i="6"/>
  <c r="C156" i="6"/>
  <c r="D156" i="6"/>
  <c r="E156" i="6"/>
  <c r="F156" i="6"/>
  <c r="C157" i="6"/>
  <c r="D157" i="6"/>
  <c r="E157" i="6"/>
  <c r="F157" i="6"/>
  <c r="C158" i="6"/>
  <c r="D158" i="6"/>
  <c r="E158" i="6"/>
  <c r="F158" i="6"/>
  <c r="C159" i="6"/>
  <c r="D159" i="6"/>
  <c r="E159" i="6"/>
  <c r="F159" i="6"/>
  <c r="C160" i="6"/>
  <c r="D160" i="6"/>
  <c r="E160" i="6"/>
  <c r="F160" i="6"/>
  <c r="C161" i="6"/>
  <c r="D161" i="6"/>
  <c r="E161" i="6"/>
  <c r="F161" i="6"/>
  <c r="C162" i="6"/>
  <c r="D162" i="6"/>
  <c r="E162" i="6"/>
  <c r="F162" i="6"/>
  <c r="C163" i="6"/>
  <c r="D163" i="6"/>
  <c r="E163" i="6"/>
  <c r="F163" i="6"/>
  <c r="C164" i="6"/>
  <c r="D164" i="6"/>
  <c r="E164" i="6"/>
  <c r="F164" i="6"/>
  <c r="C165" i="6"/>
  <c r="D165" i="6"/>
  <c r="E165" i="6"/>
  <c r="F165" i="6"/>
  <c r="C166" i="6"/>
  <c r="D166" i="6"/>
  <c r="E166" i="6"/>
  <c r="F166" i="6"/>
  <c r="C167" i="6"/>
  <c r="D167" i="6"/>
  <c r="E167" i="6"/>
  <c r="F167" i="6"/>
  <c r="C168" i="6"/>
  <c r="D168" i="6"/>
  <c r="E168" i="6"/>
  <c r="F168" i="6"/>
  <c r="C169" i="6"/>
  <c r="D169" i="6"/>
  <c r="E169" i="6"/>
  <c r="F169" i="6"/>
  <c r="C170" i="6"/>
  <c r="D170" i="6"/>
  <c r="E170" i="6"/>
  <c r="F170" i="6"/>
  <c r="C171" i="6"/>
  <c r="D171" i="6"/>
  <c r="E171" i="6"/>
  <c r="F171" i="6"/>
  <c r="C172" i="6"/>
  <c r="D172" i="6"/>
  <c r="E172" i="6"/>
  <c r="F172" i="6"/>
  <c r="C173" i="6"/>
  <c r="D173" i="6"/>
  <c r="E173" i="6"/>
  <c r="F173" i="6"/>
  <c r="C174" i="6"/>
  <c r="D174" i="6"/>
  <c r="E174" i="6"/>
  <c r="F174" i="6"/>
  <c r="C175" i="6"/>
  <c r="D175" i="6"/>
  <c r="E175" i="6"/>
  <c r="F175" i="6"/>
  <c r="C176" i="6"/>
  <c r="D176" i="6"/>
  <c r="E176" i="6"/>
  <c r="F176" i="6"/>
  <c r="C177" i="6"/>
  <c r="D177" i="6"/>
  <c r="E177" i="6"/>
  <c r="F177" i="6"/>
  <c r="C178" i="6"/>
  <c r="D178" i="6"/>
  <c r="E178" i="6"/>
  <c r="F178" i="6"/>
  <c r="C179" i="6"/>
  <c r="D179" i="6"/>
  <c r="E179" i="6"/>
  <c r="F179" i="6"/>
  <c r="C180" i="6"/>
  <c r="D180" i="6"/>
  <c r="E180" i="6"/>
  <c r="F180" i="6"/>
  <c r="C181" i="6"/>
  <c r="D181" i="6"/>
  <c r="E181" i="6"/>
  <c r="F181" i="6"/>
  <c r="C182" i="6"/>
  <c r="D182" i="6"/>
  <c r="E182" i="6"/>
  <c r="F182" i="6"/>
  <c r="C183" i="6"/>
  <c r="D183" i="6"/>
  <c r="E183" i="6"/>
  <c r="F183" i="6"/>
  <c r="C184" i="6"/>
  <c r="D184" i="6"/>
  <c r="E184" i="6"/>
  <c r="F184" i="6"/>
  <c r="C185" i="6"/>
  <c r="D185" i="6"/>
  <c r="E185" i="6"/>
  <c r="F185" i="6"/>
  <c r="C186" i="6"/>
  <c r="D186" i="6"/>
  <c r="E186" i="6"/>
  <c r="F186" i="6"/>
  <c r="C187" i="6"/>
  <c r="D187" i="6"/>
  <c r="E187" i="6"/>
  <c r="F187" i="6"/>
  <c r="C188" i="6"/>
  <c r="D188" i="6"/>
  <c r="E188" i="6"/>
  <c r="F188" i="6"/>
  <c r="C189" i="6"/>
  <c r="D189" i="6"/>
  <c r="E189" i="6"/>
  <c r="F189" i="6"/>
  <c r="C190" i="6"/>
  <c r="D190" i="6"/>
  <c r="E190" i="6"/>
  <c r="F190" i="6"/>
  <c r="C191" i="6"/>
  <c r="D191" i="6"/>
  <c r="E191" i="6"/>
  <c r="F191" i="6"/>
  <c r="C192" i="6"/>
  <c r="D192" i="6"/>
  <c r="E192" i="6"/>
  <c r="C195" i="6"/>
  <c r="D195" i="6"/>
  <c r="E195" i="6"/>
  <c r="F195" i="6"/>
  <c r="C196" i="6"/>
  <c r="D196" i="6"/>
  <c r="E196" i="6"/>
  <c r="F196" i="6"/>
  <c r="C197" i="6"/>
  <c r="D197" i="6"/>
  <c r="E197" i="6"/>
  <c r="F197" i="6"/>
  <c r="C198" i="6"/>
  <c r="D198" i="6"/>
  <c r="E198" i="6"/>
  <c r="F198" i="6"/>
  <c r="C199" i="6"/>
  <c r="D199" i="6"/>
  <c r="E199" i="6"/>
  <c r="F199" i="6"/>
  <c r="C200" i="6"/>
  <c r="D200" i="6"/>
  <c r="E200" i="6"/>
  <c r="F200" i="6"/>
  <c r="C201" i="6"/>
  <c r="D201" i="6"/>
  <c r="E201" i="6"/>
  <c r="F201" i="6"/>
  <c r="C202" i="6"/>
  <c r="D202" i="6"/>
  <c r="E202" i="6"/>
  <c r="F202" i="6"/>
  <c r="C203" i="6"/>
  <c r="D203" i="6"/>
  <c r="E203" i="6"/>
  <c r="F203" i="6"/>
  <c r="C204" i="6"/>
  <c r="D204" i="6"/>
  <c r="E204" i="6"/>
  <c r="F204" i="6"/>
  <c r="C205" i="6"/>
  <c r="D205" i="6"/>
  <c r="E205" i="6"/>
  <c r="F205" i="6"/>
  <c r="C206" i="6"/>
  <c r="D206" i="6"/>
  <c r="E206" i="6"/>
  <c r="F206" i="6"/>
  <c r="C207" i="6"/>
  <c r="D207" i="6"/>
  <c r="E207" i="6"/>
  <c r="F207" i="6"/>
  <c r="C208" i="6"/>
  <c r="D208" i="6"/>
  <c r="E208" i="6"/>
  <c r="F208" i="6"/>
  <c r="C210" i="6"/>
  <c r="D210" i="6"/>
  <c r="E210" i="6"/>
  <c r="F210" i="6"/>
  <c r="C211" i="6"/>
  <c r="D211" i="6"/>
  <c r="E211" i="6"/>
  <c r="F211" i="6"/>
  <c r="C212" i="6"/>
  <c r="D212" i="6"/>
  <c r="E212" i="6"/>
  <c r="F212" i="6"/>
  <c r="F214" i="6"/>
  <c r="C215" i="6"/>
  <c r="D215" i="6"/>
  <c r="E215" i="6"/>
  <c r="F215" i="6"/>
  <c r="C217" i="6"/>
  <c r="D217" i="6"/>
  <c r="E217" i="6"/>
  <c r="F217" i="6"/>
  <c r="F21" i="6"/>
  <c r="E21" i="6"/>
  <c r="D21" i="6"/>
  <c r="C21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2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7" i="6"/>
  <c r="B78" i="6"/>
  <c r="B79" i="6"/>
  <c r="B80" i="6"/>
  <c r="B81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5" i="6"/>
  <c r="B217" i="6"/>
  <c r="B21" i="6"/>
  <c r="A220" i="6"/>
  <c r="B206" i="5"/>
  <c r="B205" i="5"/>
  <c r="B203" i="5"/>
  <c r="B202" i="5"/>
  <c r="B201" i="5"/>
  <c r="B200" i="5"/>
  <c r="B199" i="5"/>
  <c r="B198" i="5"/>
  <c r="B197" i="5"/>
  <c r="B185" i="5"/>
  <c r="B184" i="5"/>
  <c r="B183" i="5"/>
  <c r="B182" i="5"/>
  <c r="B179" i="5"/>
  <c r="B178" i="5"/>
  <c r="B177" i="5"/>
  <c r="B176" i="5"/>
  <c r="B175" i="5"/>
  <c r="B174" i="5"/>
  <c r="B168" i="5"/>
  <c r="B167" i="5"/>
  <c r="B166" i="5"/>
  <c r="B165" i="5"/>
  <c r="B164" i="5"/>
  <c r="B162" i="5"/>
  <c r="B154" i="5"/>
  <c r="C154" i="5"/>
  <c r="C153" i="5"/>
  <c r="B152" i="5"/>
  <c r="B148" i="5"/>
  <c r="B146" i="5"/>
  <c r="B144" i="5"/>
  <c r="C140" i="5"/>
  <c r="B138" i="5"/>
  <c r="B135" i="5"/>
  <c r="D111" i="5"/>
  <c r="C127" i="5"/>
  <c r="D127" i="5"/>
  <c r="E127" i="5"/>
  <c r="F127" i="5"/>
  <c r="G127" i="5"/>
  <c r="C126" i="5"/>
  <c r="D126" i="5"/>
  <c r="E126" i="5"/>
  <c r="F126" i="5"/>
  <c r="G126" i="5"/>
  <c r="B124" i="5"/>
  <c r="B123" i="5"/>
  <c r="H123" i="5" s="1"/>
  <c r="F123" i="6" s="1"/>
  <c r="C123" i="5"/>
  <c r="C122" i="5"/>
  <c r="B121" i="5"/>
  <c r="B119" i="5"/>
  <c r="C111" i="5"/>
  <c r="E111" i="5"/>
  <c r="E116" i="5" s="1"/>
  <c r="F111" i="5"/>
  <c r="F116" i="5" s="1"/>
  <c r="G111" i="5"/>
  <c r="C110" i="5"/>
  <c r="D110" i="5"/>
  <c r="E110" i="5"/>
  <c r="F110" i="5"/>
  <c r="G110" i="5"/>
  <c r="B110" i="5"/>
  <c r="B108" i="5"/>
  <c r="C104" i="5"/>
  <c r="D102" i="5"/>
  <c r="B101" i="5"/>
  <c r="B99" i="5"/>
  <c r="B98" i="5"/>
  <c r="C94" i="5"/>
  <c r="B94" i="5"/>
  <c r="B93" i="5"/>
  <c r="D181" i="5"/>
  <c r="D180" i="5"/>
  <c r="D81" i="5"/>
  <c r="D80" i="5"/>
  <c r="BP80" i="5" s="1"/>
  <c r="C74" i="5"/>
  <c r="B71" i="5"/>
  <c r="B70" i="5"/>
  <c r="B69" i="5"/>
  <c r="M246" i="5"/>
  <c r="BS220" i="5"/>
  <c r="BR220" i="5"/>
  <c r="BQ220" i="5"/>
  <c r="BP220" i="5"/>
  <c r="BO220" i="5"/>
  <c r="BN220" i="5"/>
  <c r="BK220" i="5"/>
  <c r="BJ220" i="5"/>
  <c r="BI220" i="5"/>
  <c r="BH220" i="5"/>
  <c r="BG220" i="5"/>
  <c r="BF220" i="5"/>
  <c r="BD220" i="5"/>
  <c r="BC220" i="5"/>
  <c r="BB220" i="5"/>
  <c r="BA220" i="5"/>
  <c r="AZ220" i="5"/>
  <c r="AY220" i="5"/>
  <c r="AX220" i="5"/>
  <c r="AV220" i="5"/>
  <c r="AU220" i="5"/>
  <c r="AT220" i="5"/>
  <c r="AS220" i="5"/>
  <c r="AR220" i="5"/>
  <c r="AQ220" i="5"/>
  <c r="AP220" i="5"/>
  <c r="AN220" i="5"/>
  <c r="AM220" i="5"/>
  <c r="AL220" i="5"/>
  <c r="AK220" i="5"/>
  <c r="AJ220" i="5"/>
  <c r="AI220" i="5"/>
  <c r="AH220" i="5"/>
  <c r="AF220" i="5"/>
  <c r="AE220" i="5"/>
  <c r="AD220" i="5"/>
  <c r="AC220" i="5"/>
  <c r="AB220" i="5"/>
  <c r="AA220" i="5"/>
  <c r="Z220" i="5"/>
  <c r="X220" i="5"/>
  <c r="W220" i="5"/>
  <c r="V220" i="5"/>
  <c r="U220" i="5"/>
  <c r="T220" i="5"/>
  <c r="S220" i="5"/>
  <c r="R220" i="5"/>
  <c r="P220" i="5"/>
  <c r="O220" i="5"/>
  <c r="N220" i="5"/>
  <c r="M220" i="5"/>
  <c r="L220" i="5"/>
  <c r="K220" i="5"/>
  <c r="J220" i="5"/>
  <c r="H220" i="5"/>
  <c r="G220" i="5"/>
  <c r="F220" i="5"/>
  <c r="E220" i="5"/>
  <c r="D220" i="5"/>
  <c r="C220" i="5"/>
  <c r="B220" i="5"/>
  <c r="A220" i="5"/>
  <c r="BK216" i="5"/>
  <c r="BJ216" i="5"/>
  <c r="BI216" i="5"/>
  <c r="BH216" i="5"/>
  <c r="BG216" i="5"/>
  <c r="BF216" i="5"/>
  <c r="BC216" i="5"/>
  <c r="BB216" i="5"/>
  <c r="BA216" i="5"/>
  <c r="AZ216" i="5"/>
  <c r="AY216" i="5"/>
  <c r="AX216" i="5"/>
  <c r="AU216" i="5"/>
  <c r="AT216" i="5"/>
  <c r="AS216" i="5"/>
  <c r="AR216" i="5"/>
  <c r="AQ216" i="5"/>
  <c r="AP216" i="5"/>
  <c r="AM216" i="5"/>
  <c r="AL216" i="5"/>
  <c r="AK216" i="5"/>
  <c r="AJ216" i="5"/>
  <c r="AI216" i="5"/>
  <c r="AH216" i="5"/>
  <c r="AE216" i="5"/>
  <c r="AD216" i="5"/>
  <c r="AC216" i="5"/>
  <c r="AB216" i="5"/>
  <c r="AA216" i="5"/>
  <c r="Z216" i="5"/>
  <c r="W216" i="5"/>
  <c r="V216" i="5"/>
  <c r="U216" i="5"/>
  <c r="T216" i="5"/>
  <c r="S216" i="5"/>
  <c r="R216" i="5"/>
  <c r="O216" i="5"/>
  <c r="N216" i="5"/>
  <c r="M216" i="5"/>
  <c r="L216" i="5"/>
  <c r="K216" i="5"/>
  <c r="J216" i="5"/>
  <c r="G216" i="5"/>
  <c r="F216" i="5"/>
  <c r="E216" i="5"/>
  <c r="D216" i="5"/>
  <c r="C216" i="5"/>
  <c r="B216" i="5"/>
  <c r="BS215" i="5"/>
  <c r="BT215" i="5" s="1"/>
  <c r="BR215" i="5"/>
  <c r="BQ215" i="5"/>
  <c r="BP215" i="5"/>
  <c r="BO215" i="5"/>
  <c r="BN215" i="5"/>
  <c r="BL215" i="5"/>
  <c r="BD215" i="5"/>
  <c r="AV215" i="5"/>
  <c r="AN215" i="5"/>
  <c r="AF215" i="5"/>
  <c r="X215" i="5"/>
  <c r="P215" i="5"/>
  <c r="P216" i="5" s="1"/>
  <c r="L216" i="6" s="1"/>
  <c r="H215" i="5"/>
  <c r="BS214" i="5"/>
  <c r="BR214" i="5"/>
  <c r="BQ214" i="5"/>
  <c r="BP214" i="5"/>
  <c r="BO214" i="5"/>
  <c r="BN214" i="5"/>
  <c r="BL214" i="5"/>
  <c r="BD214" i="5"/>
  <c r="AV214" i="5"/>
  <c r="AJ214" i="6" s="1"/>
  <c r="H30" i="1" s="1"/>
  <c r="AN214" i="5"/>
  <c r="AF214" i="5"/>
  <c r="X214" i="6" s="1"/>
  <c r="X214" i="5"/>
  <c r="P214" i="5"/>
  <c r="H214" i="5"/>
  <c r="BS213" i="5"/>
  <c r="BR213" i="5"/>
  <c r="BQ213" i="5"/>
  <c r="BP213" i="5"/>
  <c r="BO213" i="5"/>
  <c r="BN213" i="5"/>
  <c r="BT213" i="5" s="1"/>
  <c r="BB213" i="6" s="1"/>
  <c r="BL213" i="5"/>
  <c r="BD213" i="5"/>
  <c r="BD216" i="5" s="1"/>
  <c r="AV213" i="5"/>
  <c r="AN213" i="5"/>
  <c r="AF213" i="5"/>
  <c r="X213" i="6" s="1"/>
  <c r="X213" i="5"/>
  <c r="R213" i="6" s="1"/>
  <c r="P213" i="5"/>
  <c r="H213" i="5"/>
  <c r="H216" i="5" s="1"/>
  <c r="F216" i="6" s="1"/>
  <c r="BS212" i="5"/>
  <c r="BR212" i="5"/>
  <c r="BR216" i="5" s="1"/>
  <c r="BQ212" i="5"/>
  <c r="BQ216" i="5" s="1"/>
  <c r="BP212" i="5"/>
  <c r="BP216" i="5" s="1"/>
  <c r="BO212" i="5"/>
  <c r="BN212" i="5"/>
  <c r="BL212" i="5"/>
  <c r="BD212" i="5"/>
  <c r="AV212" i="5"/>
  <c r="AN212" i="5"/>
  <c r="AD212" i="6" s="1"/>
  <c r="AF212" i="5"/>
  <c r="X212" i="5"/>
  <c r="P212" i="5"/>
  <c r="H212" i="5"/>
  <c r="BK207" i="5"/>
  <c r="BJ207" i="5"/>
  <c r="BI207" i="5"/>
  <c r="BH207" i="5"/>
  <c r="BG207" i="5"/>
  <c r="BF207" i="5"/>
  <c r="BC207" i="5"/>
  <c r="BB207" i="5"/>
  <c r="BA207" i="5"/>
  <c r="AZ207" i="5"/>
  <c r="AY207" i="5"/>
  <c r="AX207" i="5"/>
  <c r="AU207" i="5"/>
  <c r="AT207" i="5"/>
  <c r="AS207" i="5"/>
  <c r="AR207" i="5"/>
  <c r="AQ207" i="5"/>
  <c r="AM207" i="5"/>
  <c r="AL207" i="5"/>
  <c r="AK207" i="5"/>
  <c r="AJ207" i="5"/>
  <c r="AI207" i="5"/>
  <c r="AE207" i="5"/>
  <c r="AD207" i="5"/>
  <c r="AC207" i="5"/>
  <c r="AB207" i="5"/>
  <c r="AA207" i="5"/>
  <c r="W207" i="5"/>
  <c r="V207" i="5"/>
  <c r="U207" i="5"/>
  <c r="T207" i="5"/>
  <c r="S207" i="5"/>
  <c r="O207" i="5"/>
  <c r="N207" i="5"/>
  <c r="M207" i="5"/>
  <c r="L207" i="5"/>
  <c r="K207" i="5"/>
  <c r="G207" i="5"/>
  <c r="F207" i="5"/>
  <c r="E207" i="5"/>
  <c r="D207" i="5"/>
  <c r="C207" i="5"/>
  <c r="B207" i="5"/>
  <c r="BS206" i="5"/>
  <c r="BR206" i="5"/>
  <c r="BQ206" i="5"/>
  <c r="BP206" i="5"/>
  <c r="BO206" i="5"/>
  <c r="BL206" i="5"/>
  <c r="BD206" i="5"/>
  <c r="AV206" i="5"/>
  <c r="AJ206" i="6" s="1"/>
  <c r="AN206" i="5"/>
  <c r="AF206" i="5"/>
  <c r="X206" i="6" s="1"/>
  <c r="X206" i="5"/>
  <c r="R206" i="6" s="1"/>
  <c r="P206" i="5"/>
  <c r="H206" i="5"/>
  <c r="BS205" i="5"/>
  <c r="BR205" i="5"/>
  <c r="BQ205" i="5"/>
  <c r="BP205" i="5"/>
  <c r="BO205" i="5"/>
  <c r="BL205" i="5"/>
  <c r="BD205" i="5"/>
  <c r="AV205" i="5"/>
  <c r="AN205" i="5"/>
  <c r="X205" i="5"/>
  <c r="R205" i="6" s="1"/>
  <c r="P205" i="5"/>
  <c r="H205" i="5"/>
  <c r="BS204" i="5"/>
  <c r="BR204" i="5"/>
  <c r="BQ204" i="5"/>
  <c r="BP204" i="5"/>
  <c r="BO204" i="5"/>
  <c r="BN204" i="5"/>
  <c r="BT204" i="5" s="1"/>
  <c r="BL204" i="5"/>
  <c r="BD204" i="5"/>
  <c r="AV204" i="5"/>
  <c r="AN204" i="5"/>
  <c r="AF204" i="5"/>
  <c r="X204" i="5"/>
  <c r="P204" i="5"/>
  <c r="H204" i="5"/>
  <c r="BS203" i="5"/>
  <c r="BR203" i="5"/>
  <c r="BQ203" i="5"/>
  <c r="BP203" i="5"/>
  <c r="BO203" i="5"/>
  <c r="BL203" i="5"/>
  <c r="BD203" i="5"/>
  <c r="AV203" i="5"/>
  <c r="AJ203" i="6" s="1"/>
  <c r="AN203" i="5"/>
  <c r="AD203" i="6" s="1"/>
  <c r="AF203" i="5"/>
  <c r="X203" i="6" s="1"/>
  <c r="X203" i="5"/>
  <c r="P203" i="5"/>
  <c r="L203" i="6" s="1"/>
  <c r="H203" i="5"/>
  <c r="BS202" i="5"/>
  <c r="BR202" i="5"/>
  <c r="BQ202" i="5"/>
  <c r="BP202" i="5"/>
  <c r="BO202" i="5"/>
  <c r="BL202" i="5"/>
  <c r="BD202" i="5"/>
  <c r="AV202" i="5"/>
  <c r="AJ202" i="6" s="1"/>
  <c r="AN202" i="5"/>
  <c r="AD202" i="6" s="1"/>
  <c r="AF202" i="5"/>
  <c r="X202" i="6" s="1"/>
  <c r="X202" i="5"/>
  <c r="P202" i="5"/>
  <c r="L202" i="6" s="1"/>
  <c r="H202" i="5"/>
  <c r="BS201" i="5"/>
  <c r="BR201" i="5"/>
  <c r="BQ201" i="5"/>
  <c r="BP201" i="5"/>
  <c r="BO201" i="5"/>
  <c r="BL201" i="5"/>
  <c r="BD201" i="5"/>
  <c r="AV201" i="5"/>
  <c r="AN201" i="5"/>
  <c r="AD201" i="6" s="1"/>
  <c r="AF201" i="5"/>
  <c r="X201" i="6" s="1"/>
  <c r="X201" i="5"/>
  <c r="R201" i="6" s="1"/>
  <c r="P201" i="5"/>
  <c r="BS200" i="5"/>
  <c r="BR200" i="5"/>
  <c r="BQ200" i="5"/>
  <c r="BP200" i="5"/>
  <c r="BO200" i="5"/>
  <c r="BL200" i="5"/>
  <c r="BD200" i="5"/>
  <c r="AV200" i="5"/>
  <c r="AJ200" i="6" s="1"/>
  <c r="AN200" i="5"/>
  <c r="AD200" i="6" s="1"/>
  <c r="AF200" i="5"/>
  <c r="X200" i="5"/>
  <c r="P200" i="5"/>
  <c r="L200" i="6" s="1"/>
  <c r="BS199" i="5"/>
  <c r="BR199" i="5"/>
  <c r="BR207" i="5" s="1"/>
  <c r="BQ199" i="5"/>
  <c r="BP199" i="5"/>
  <c r="BO199" i="5"/>
  <c r="BL199" i="5"/>
  <c r="BD199" i="5"/>
  <c r="AN199" i="5"/>
  <c r="AD199" i="6" s="1"/>
  <c r="AF199" i="5"/>
  <c r="X199" i="5"/>
  <c r="P199" i="5"/>
  <c r="L199" i="6" s="1"/>
  <c r="H199" i="5"/>
  <c r="BS198" i="5"/>
  <c r="BR198" i="5"/>
  <c r="BQ198" i="5"/>
  <c r="BP198" i="5"/>
  <c r="BO198" i="5"/>
  <c r="BN198" i="5"/>
  <c r="BL198" i="5"/>
  <c r="BD198" i="5"/>
  <c r="AV198" i="5"/>
  <c r="AN198" i="5"/>
  <c r="AF198" i="5"/>
  <c r="X198" i="5"/>
  <c r="P198" i="5"/>
  <c r="H198" i="5"/>
  <c r="BS197" i="5"/>
  <c r="BR197" i="5"/>
  <c r="BQ197" i="5"/>
  <c r="BP197" i="5"/>
  <c r="BO197" i="5"/>
  <c r="BO207" i="5" s="1"/>
  <c r="BL197" i="5"/>
  <c r="BL207" i="5" s="1"/>
  <c r="BD197" i="5"/>
  <c r="AV197" i="5"/>
  <c r="AJ197" i="6" s="1"/>
  <c r="AN197" i="5"/>
  <c r="X197" i="5"/>
  <c r="R197" i="6" s="1"/>
  <c r="H197" i="5"/>
  <c r="BK194" i="5"/>
  <c r="BI194" i="5"/>
  <c r="BH194" i="5"/>
  <c r="BG194" i="5"/>
  <c r="BB194" i="5"/>
  <c r="BA194" i="5"/>
  <c r="AZ194" i="5"/>
  <c r="AY194" i="5"/>
  <c r="AT194" i="5"/>
  <c r="AS194" i="5"/>
  <c r="AQ194" i="5"/>
  <c r="AL194" i="5"/>
  <c r="AK194" i="5"/>
  <c r="AI194" i="5"/>
  <c r="AE194" i="5"/>
  <c r="AD194" i="5"/>
  <c r="AC194" i="5"/>
  <c r="AA194" i="5"/>
  <c r="V194" i="5"/>
  <c r="U194" i="5"/>
  <c r="S194" i="5"/>
  <c r="O194" i="5"/>
  <c r="N194" i="5"/>
  <c r="M194" i="5"/>
  <c r="L194" i="5"/>
  <c r="K194" i="5"/>
  <c r="F194" i="5"/>
  <c r="E194" i="5"/>
  <c r="C194" i="5"/>
  <c r="BS193" i="5"/>
  <c r="BR193" i="5"/>
  <c r="BQ193" i="5"/>
  <c r="BP193" i="5"/>
  <c r="BO193" i="5"/>
  <c r="BL193" i="5"/>
  <c r="BS192" i="5"/>
  <c r="BR192" i="5"/>
  <c r="BQ192" i="5"/>
  <c r="BP192" i="5"/>
  <c r="BO192" i="5"/>
  <c r="BN192" i="5"/>
  <c r="BJ192" i="5"/>
  <c r="BD192" i="5"/>
  <c r="AV192" i="5"/>
  <c r="AN192" i="5"/>
  <c r="AF192" i="5"/>
  <c r="X192" i="5"/>
  <c r="P192" i="5"/>
  <c r="H192" i="5"/>
  <c r="F192" i="6" s="1"/>
  <c r="BR191" i="5"/>
  <c r="BQ191" i="5"/>
  <c r="BP191" i="5"/>
  <c r="BO191" i="5"/>
  <c r="BN191" i="5"/>
  <c r="BL191" i="5"/>
  <c r="BD191" i="5"/>
  <c r="BC191" i="5"/>
  <c r="BC194" i="5" s="1"/>
  <c r="AU191" i="5"/>
  <c r="AN191" i="5"/>
  <c r="AM191" i="5"/>
  <c r="AM194" i="5" s="1"/>
  <c r="AF191" i="5"/>
  <c r="AE191" i="5"/>
  <c r="W191" i="5"/>
  <c r="P191" i="5"/>
  <c r="O191" i="5"/>
  <c r="H191" i="5"/>
  <c r="G191" i="5"/>
  <c r="G194" i="5" s="1"/>
  <c r="BS190" i="5"/>
  <c r="BR190" i="5"/>
  <c r="BQ190" i="5"/>
  <c r="BP190" i="5"/>
  <c r="BO190" i="5"/>
  <c r="BN190" i="5"/>
  <c r="BL190" i="5"/>
  <c r="BD190" i="5"/>
  <c r="AV190" i="5"/>
  <c r="AN190" i="5"/>
  <c r="AF190" i="5"/>
  <c r="X190" i="5"/>
  <c r="P190" i="5"/>
  <c r="H190" i="5"/>
  <c r="BT189" i="5"/>
  <c r="BS189" i="5"/>
  <c r="BR189" i="5"/>
  <c r="BQ189" i="5"/>
  <c r="BP189" i="5"/>
  <c r="BO189" i="5"/>
  <c r="BN189" i="5"/>
  <c r="BL189" i="5"/>
  <c r="BD189" i="5"/>
  <c r="AV189" i="5"/>
  <c r="AN189" i="5"/>
  <c r="AF189" i="5"/>
  <c r="X189" i="5"/>
  <c r="P189" i="5"/>
  <c r="H189" i="5"/>
  <c r="BS188" i="5"/>
  <c r="BR188" i="5"/>
  <c r="BQ188" i="5"/>
  <c r="BP188" i="5"/>
  <c r="BO188" i="5"/>
  <c r="BN188" i="5"/>
  <c r="BL188" i="5"/>
  <c r="BD188" i="5"/>
  <c r="AV188" i="5"/>
  <c r="AN188" i="5"/>
  <c r="AF188" i="5"/>
  <c r="X188" i="5"/>
  <c r="P188" i="5"/>
  <c r="H188" i="5"/>
  <c r="BS187" i="5"/>
  <c r="BR187" i="5"/>
  <c r="BQ187" i="5"/>
  <c r="BP187" i="5"/>
  <c r="BO187" i="5"/>
  <c r="BN187" i="5"/>
  <c r="BT187" i="5" s="1"/>
  <c r="BL187" i="5"/>
  <c r="BD187" i="5"/>
  <c r="AV187" i="5"/>
  <c r="AJ187" i="6" s="1"/>
  <c r="AN187" i="5"/>
  <c r="AF187" i="5"/>
  <c r="X187" i="5"/>
  <c r="P187" i="5"/>
  <c r="H187" i="5"/>
  <c r="BS186" i="5"/>
  <c r="BR186" i="5"/>
  <c r="BQ186" i="5"/>
  <c r="BP186" i="5"/>
  <c r="BO186" i="5"/>
  <c r="BN186" i="5"/>
  <c r="BL186" i="5"/>
  <c r="BD186" i="5"/>
  <c r="AV186" i="5"/>
  <c r="AN186" i="5"/>
  <c r="AH186" i="5"/>
  <c r="AF186" i="5"/>
  <c r="X186" i="5"/>
  <c r="P186" i="5"/>
  <c r="L186" i="6" s="1"/>
  <c r="H186" i="5"/>
  <c r="BS185" i="5"/>
  <c r="BR185" i="5"/>
  <c r="BQ185" i="5"/>
  <c r="BP185" i="5"/>
  <c r="BO185" i="5"/>
  <c r="BL185" i="5"/>
  <c r="AV185" i="6" s="1"/>
  <c r="BD185" i="5"/>
  <c r="AN185" i="5"/>
  <c r="AF185" i="5"/>
  <c r="X185" i="6" s="1"/>
  <c r="X185" i="5"/>
  <c r="P185" i="5"/>
  <c r="L185" i="6" s="1"/>
  <c r="H185" i="5"/>
  <c r="BS184" i="5"/>
  <c r="BR184" i="5"/>
  <c r="BQ184" i="5"/>
  <c r="BP184" i="5"/>
  <c r="BO184" i="5"/>
  <c r="BL184" i="5"/>
  <c r="BD184" i="5"/>
  <c r="AV184" i="5"/>
  <c r="AJ184" i="6" s="1"/>
  <c r="AN184" i="5"/>
  <c r="AD184" i="6" s="1"/>
  <c r="AF184" i="5"/>
  <c r="X184" i="6" s="1"/>
  <c r="X184" i="5"/>
  <c r="R184" i="6" s="1"/>
  <c r="P184" i="5"/>
  <c r="BS183" i="5"/>
  <c r="BR183" i="5"/>
  <c r="BQ183" i="5"/>
  <c r="BP183" i="5"/>
  <c r="BO183" i="5"/>
  <c r="BD183" i="5"/>
  <c r="AP183" i="6" s="1"/>
  <c r="AV183" i="5"/>
  <c r="AJ183" i="6" s="1"/>
  <c r="AN183" i="5"/>
  <c r="AF183" i="5"/>
  <c r="X183" i="6" s="1"/>
  <c r="X183" i="5"/>
  <c r="R183" i="6" s="1"/>
  <c r="P183" i="5"/>
  <c r="L183" i="6" s="1"/>
  <c r="H183" i="5"/>
  <c r="BS182" i="5"/>
  <c r="BR182" i="5"/>
  <c r="BQ182" i="5"/>
  <c r="BP182" i="5"/>
  <c r="BO182" i="5"/>
  <c r="BL182" i="5"/>
  <c r="BD182" i="5"/>
  <c r="AV182" i="5"/>
  <c r="AJ182" i="6" s="1"/>
  <c r="AN182" i="5"/>
  <c r="AD182" i="6" s="1"/>
  <c r="AF182" i="5"/>
  <c r="X182" i="5"/>
  <c r="R182" i="6" s="1"/>
  <c r="P182" i="5"/>
  <c r="L182" i="6" s="1"/>
  <c r="H182" i="5"/>
  <c r="BS181" i="5"/>
  <c r="BR181" i="5"/>
  <c r="BQ181" i="5"/>
  <c r="BO181" i="5"/>
  <c r="BN181" i="5"/>
  <c r="BL181" i="5"/>
  <c r="BD181" i="5"/>
  <c r="AV181" i="5"/>
  <c r="AB194" i="5"/>
  <c r="X181" i="5"/>
  <c r="P181" i="5"/>
  <c r="L181" i="6" s="1"/>
  <c r="H181" i="5"/>
  <c r="BS180" i="5"/>
  <c r="BR180" i="5"/>
  <c r="BQ180" i="5"/>
  <c r="BP180" i="5"/>
  <c r="BO180" i="5"/>
  <c r="BN180" i="5"/>
  <c r="BL180" i="5"/>
  <c r="BD180" i="5"/>
  <c r="AN180" i="5"/>
  <c r="AF180" i="5"/>
  <c r="X180" i="5"/>
  <c r="P180" i="5"/>
  <c r="BS179" i="5"/>
  <c r="BR179" i="5"/>
  <c r="BQ179" i="5"/>
  <c r="BP179" i="5"/>
  <c r="BO179" i="5"/>
  <c r="BL179" i="5"/>
  <c r="BD179" i="5"/>
  <c r="AV179" i="5"/>
  <c r="AN179" i="5"/>
  <c r="AD179" i="6" s="1"/>
  <c r="AF179" i="5"/>
  <c r="X179" i="6" s="1"/>
  <c r="X179" i="5"/>
  <c r="P179" i="5"/>
  <c r="L179" i="6" s="1"/>
  <c r="H179" i="5"/>
  <c r="BS178" i="5"/>
  <c r="BR178" i="5"/>
  <c r="BQ178" i="5"/>
  <c r="BP178" i="5"/>
  <c r="BO178" i="5"/>
  <c r="BL178" i="5"/>
  <c r="BS177" i="5"/>
  <c r="BR177" i="5"/>
  <c r="BQ177" i="5"/>
  <c r="BP177" i="5"/>
  <c r="BO177" i="5"/>
  <c r="BN177" i="5"/>
  <c r="BT177" i="5" s="1"/>
  <c r="BL177" i="5"/>
  <c r="BD177" i="5"/>
  <c r="AV177" i="5"/>
  <c r="AJ177" i="6" s="1"/>
  <c r="AN177" i="5"/>
  <c r="AD177" i="6" s="1"/>
  <c r="AF177" i="5"/>
  <c r="X177" i="6" s="1"/>
  <c r="X177" i="5"/>
  <c r="P177" i="5"/>
  <c r="L177" i="6" s="1"/>
  <c r="H177" i="5"/>
  <c r="BS176" i="5"/>
  <c r="BR176" i="5"/>
  <c r="BQ176" i="5"/>
  <c r="BP176" i="5"/>
  <c r="BO176" i="5"/>
  <c r="BL176" i="5"/>
  <c r="BD176" i="5"/>
  <c r="AP176" i="6" s="1"/>
  <c r="AV176" i="5"/>
  <c r="AJ176" i="6" s="1"/>
  <c r="AF176" i="5"/>
  <c r="X176" i="5"/>
  <c r="R176" i="6" s="1"/>
  <c r="P176" i="5"/>
  <c r="L176" i="6" s="1"/>
  <c r="H176" i="5"/>
  <c r="BS175" i="5"/>
  <c r="BR175" i="5"/>
  <c r="BQ175" i="5"/>
  <c r="BP175" i="5"/>
  <c r="BO175" i="5"/>
  <c r="BL175" i="5"/>
  <c r="BD175" i="5"/>
  <c r="AV175" i="5"/>
  <c r="AJ175" i="6" s="1"/>
  <c r="AF175" i="5"/>
  <c r="X175" i="6" s="1"/>
  <c r="X175" i="5"/>
  <c r="R175" i="6" s="1"/>
  <c r="P175" i="5"/>
  <c r="H175" i="5"/>
  <c r="BS174" i="5"/>
  <c r="BR174" i="5"/>
  <c r="BQ174" i="5"/>
  <c r="BP174" i="5"/>
  <c r="BO174" i="5"/>
  <c r="BL174" i="5"/>
  <c r="BD174" i="5"/>
  <c r="AV174" i="5"/>
  <c r="AJ174" i="6" s="1"/>
  <c r="AN174" i="5"/>
  <c r="AD174" i="6" s="1"/>
  <c r="AF174" i="5"/>
  <c r="X174" i="5"/>
  <c r="P174" i="5"/>
  <c r="L174" i="6" s="1"/>
  <c r="H174" i="5"/>
  <c r="BN174" i="5"/>
  <c r="BK171" i="5"/>
  <c r="BJ171" i="5"/>
  <c r="BI171" i="5"/>
  <c r="BH171" i="5"/>
  <c r="BG171" i="5"/>
  <c r="BF171" i="5"/>
  <c r="BC171" i="5"/>
  <c r="BB171" i="5"/>
  <c r="BA171" i="5"/>
  <c r="AZ171" i="5"/>
  <c r="AY171" i="5"/>
  <c r="AU171" i="5"/>
  <c r="AT171" i="5"/>
  <c r="AS171" i="5"/>
  <c r="AR171" i="5"/>
  <c r="AQ171" i="5"/>
  <c r="AM171" i="5"/>
  <c r="AL171" i="5"/>
  <c r="AK171" i="5"/>
  <c r="AJ171" i="5"/>
  <c r="AI171" i="5"/>
  <c r="AE171" i="5"/>
  <c r="AD171" i="5"/>
  <c r="AC171" i="5"/>
  <c r="AB171" i="5"/>
  <c r="AA171" i="5"/>
  <c r="W171" i="5"/>
  <c r="V171" i="5"/>
  <c r="U171" i="5"/>
  <c r="T171" i="5"/>
  <c r="S171" i="5"/>
  <c r="O171" i="5"/>
  <c r="N171" i="5"/>
  <c r="M171" i="5"/>
  <c r="L171" i="5"/>
  <c r="K171" i="5"/>
  <c r="G171" i="5"/>
  <c r="F171" i="5"/>
  <c r="E171" i="5"/>
  <c r="D171" i="5"/>
  <c r="C171" i="5"/>
  <c r="BS170" i="5"/>
  <c r="BR170" i="5"/>
  <c r="BQ170" i="5"/>
  <c r="BP170" i="5"/>
  <c r="BO170" i="5"/>
  <c r="BL170" i="5"/>
  <c r="BS169" i="5"/>
  <c r="BR169" i="5"/>
  <c r="BQ169" i="5"/>
  <c r="BP169" i="5"/>
  <c r="BP171" i="5" s="1"/>
  <c r="BO169" i="5"/>
  <c r="BN169" i="5"/>
  <c r="BL169" i="5"/>
  <c r="BD169" i="5"/>
  <c r="AP169" i="6" s="1"/>
  <c r="AV169" i="5"/>
  <c r="AN169" i="5"/>
  <c r="AD169" i="6" s="1"/>
  <c r="AF169" i="5"/>
  <c r="X169" i="5"/>
  <c r="P169" i="5"/>
  <c r="L169" i="6" s="1"/>
  <c r="H169" i="5"/>
  <c r="BS168" i="5"/>
  <c r="BR168" i="5"/>
  <c r="BQ168" i="5"/>
  <c r="BP168" i="5"/>
  <c r="BO168" i="5"/>
  <c r="BL168" i="5"/>
  <c r="BS167" i="5"/>
  <c r="BR167" i="5"/>
  <c r="BQ167" i="5"/>
  <c r="BP167" i="5"/>
  <c r="BO167" i="5"/>
  <c r="BL167" i="5"/>
  <c r="BD167" i="5"/>
  <c r="AV167" i="5"/>
  <c r="AJ167" i="6" s="1"/>
  <c r="AN167" i="5"/>
  <c r="AD167" i="6" s="1"/>
  <c r="AF167" i="5"/>
  <c r="X167" i="5"/>
  <c r="P167" i="5"/>
  <c r="L167" i="6" s="1"/>
  <c r="H167" i="5"/>
  <c r="BS166" i="5"/>
  <c r="BR166" i="5"/>
  <c r="BQ166" i="5"/>
  <c r="BP166" i="5"/>
  <c r="BO166" i="5"/>
  <c r="BL166" i="5"/>
  <c r="BD166" i="5"/>
  <c r="AP166" i="6" s="1"/>
  <c r="AV166" i="5"/>
  <c r="AJ166" i="6" s="1"/>
  <c r="AN166" i="5"/>
  <c r="AF166" i="5"/>
  <c r="X166" i="6" s="1"/>
  <c r="X166" i="5"/>
  <c r="R166" i="6" s="1"/>
  <c r="P166" i="5"/>
  <c r="BS165" i="5"/>
  <c r="BR165" i="5"/>
  <c r="BQ165" i="5"/>
  <c r="BP165" i="5"/>
  <c r="BO165" i="5"/>
  <c r="BL165" i="5"/>
  <c r="AV165" i="6" s="1"/>
  <c r="BD165" i="5"/>
  <c r="AV165" i="5"/>
  <c r="AN165" i="5"/>
  <c r="AF165" i="5"/>
  <c r="X165" i="6" s="1"/>
  <c r="X165" i="5"/>
  <c r="P165" i="5"/>
  <c r="L165" i="6" s="1"/>
  <c r="BN165" i="5"/>
  <c r="BT165" i="5" s="1"/>
  <c r="BS164" i="5"/>
  <c r="BR164" i="5"/>
  <c r="BQ164" i="5"/>
  <c r="BP164" i="5"/>
  <c r="BO164" i="5"/>
  <c r="BL164" i="5"/>
  <c r="BS163" i="5"/>
  <c r="BR163" i="5"/>
  <c r="BQ163" i="5"/>
  <c r="BP163" i="5"/>
  <c r="BO163" i="5"/>
  <c r="BL163" i="5"/>
  <c r="AV163" i="5"/>
  <c r="AN163" i="5"/>
  <c r="AF163" i="5"/>
  <c r="P163" i="5"/>
  <c r="H163" i="5"/>
  <c r="BS162" i="5"/>
  <c r="BR162" i="5"/>
  <c r="BQ162" i="5"/>
  <c r="BP162" i="5"/>
  <c r="BO162" i="5"/>
  <c r="BL162" i="5"/>
  <c r="BD162" i="5"/>
  <c r="AN162" i="5"/>
  <c r="AD162" i="6" s="1"/>
  <c r="AF162" i="5"/>
  <c r="X162" i="5"/>
  <c r="P162" i="5"/>
  <c r="L162" i="6" s="1"/>
  <c r="H162" i="5"/>
  <c r="M161" i="5"/>
  <c r="M173" i="5" s="1"/>
  <c r="M196" i="5" s="1"/>
  <c r="H161" i="5"/>
  <c r="H173" i="5" s="1"/>
  <c r="H196" i="5" s="1"/>
  <c r="BK159" i="5"/>
  <c r="BJ159" i="5"/>
  <c r="BI159" i="5"/>
  <c r="BH159" i="5"/>
  <c r="BG159" i="5"/>
  <c r="BF159" i="5"/>
  <c r="AM159" i="5"/>
  <c r="AJ159" i="5"/>
  <c r="W159" i="5"/>
  <c r="T159" i="5"/>
  <c r="G159" i="5"/>
  <c r="BS158" i="5"/>
  <c r="BR158" i="5"/>
  <c r="BQ158" i="5"/>
  <c r="BP158" i="5"/>
  <c r="BO158" i="5"/>
  <c r="BN158" i="5"/>
  <c r="BL158" i="5"/>
  <c r="BD158" i="5"/>
  <c r="AV158" i="5"/>
  <c r="AN158" i="5"/>
  <c r="AF158" i="5"/>
  <c r="X158" i="5"/>
  <c r="P158" i="5"/>
  <c r="H158" i="5"/>
  <c r="BS157" i="5"/>
  <c r="BR157" i="5"/>
  <c r="BQ157" i="5"/>
  <c r="BP157" i="5"/>
  <c r="BO157" i="5"/>
  <c r="BL157" i="5"/>
  <c r="BS156" i="5"/>
  <c r="BR156" i="5"/>
  <c r="BQ156" i="5"/>
  <c r="BP156" i="5"/>
  <c r="BO156" i="5"/>
  <c r="BL156" i="5"/>
  <c r="BS155" i="5"/>
  <c r="BR155" i="5"/>
  <c r="BQ155" i="5"/>
  <c r="BP155" i="5"/>
  <c r="BO155" i="5"/>
  <c r="BL155" i="5"/>
  <c r="AV155" i="5"/>
  <c r="AN155" i="5"/>
  <c r="AF155" i="5"/>
  <c r="X155" i="5"/>
  <c r="P155" i="5"/>
  <c r="H155" i="5"/>
  <c r="BL154" i="5"/>
  <c r="BC154" i="5"/>
  <c r="BC159" i="5" s="1"/>
  <c r="BB154" i="5"/>
  <c r="BB159" i="5" s="1"/>
  <c r="BA154" i="5"/>
  <c r="BA159" i="5" s="1"/>
  <c r="AZ154" i="5"/>
  <c r="AZ159" i="5" s="1"/>
  <c r="AU154" i="5"/>
  <c r="AU159" i="5" s="1"/>
  <c r="AT154" i="5"/>
  <c r="AT159" i="5" s="1"/>
  <c r="AM154" i="5"/>
  <c r="AL154" i="5"/>
  <c r="AL159" i="5" s="1"/>
  <c r="AE154" i="5"/>
  <c r="AE159" i="5" s="1"/>
  <c r="AD154" i="5"/>
  <c r="AD159" i="5" s="1"/>
  <c r="W154" i="5"/>
  <c r="V154" i="5"/>
  <c r="V159" i="5" s="1"/>
  <c r="O154" i="5"/>
  <c r="O159" i="5" s="1"/>
  <c r="N154" i="5"/>
  <c r="N159" i="5" s="1"/>
  <c r="G154" i="5"/>
  <c r="F154" i="5"/>
  <c r="F159" i="5" s="1"/>
  <c r="BS153" i="5"/>
  <c r="BR153" i="5"/>
  <c r="BQ153" i="5"/>
  <c r="BP153" i="5"/>
  <c r="BN153" i="5"/>
  <c r="BL153" i="5"/>
  <c r="BL159" i="5" s="1"/>
  <c r="BS152" i="5"/>
  <c r="BR152" i="5"/>
  <c r="BQ152" i="5"/>
  <c r="BP152" i="5"/>
  <c r="BO152" i="5"/>
  <c r="BL152" i="5"/>
  <c r="AN152" i="5"/>
  <c r="AF152" i="5"/>
  <c r="X152" i="6" s="1"/>
  <c r="X152" i="5"/>
  <c r="R152" i="6" s="1"/>
  <c r="H152" i="5"/>
  <c r="BN152" i="5"/>
  <c r="M151" i="5"/>
  <c r="BR149" i="5"/>
  <c r="BP149" i="5"/>
  <c r="BK149" i="5"/>
  <c r="BJ149" i="5"/>
  <c r="BI149" i="5"/>
  <c r="BH149" i="5"/>
  <c r="BG149" i="5"/>
  <c r="BC149" i="5"/>
  <c r="BB149" i="5"/>
  <c r="BA149" i="5"/>
  <c r="AZ149" i="5"/>
  <c r="AY149" i="5"/>
  <c r="AU149" i="5"/>
  <c r="AT149" i="5"/>
  <c r="AS149" i="5"/>
  <c r="AR149" i="5"/>
  <c r="AQ149" i="5"/>
  <c r="AM149" i="5"/>
  <c r="AL149" i="5"/>
  <c r="AK149" i="5"/>
  <c r="AJ149" i="5"/>
  <c r="AI149" i="5"/>
  <c r="AE149" i="5"/>
  <c r="AD149" i="5"/>
  <c r="AC149" i="5"/>
  <c r="AB149" i="5"/>
  <c r="AA149" i="5"/>
  <c r="W149" i="5"/>
  <c r="V149" i="5"/>
  <c r="U149" i="5"/>
  <c r="T149" i="5"/>
  <c r="S149" i="5"/>
  <c r="O149" i="5"/>
  <c r="N149" i="5"/>
  <c r="M149" i="5"/>
  <c r="L149" i="5"/>
  <c r="K149" i="5"/>
  <c r="G149" i="5"/>
  <c r="F149" i="5"/>
  <c r="E149" i="5"/>
  <c r="D149" i="5"/>
  <c r="C149" i="5"/>
  <c r="BS148" i="5"/>
  <c r="BR148" i="5"/>
  <c r="BQ148" i="5"/>
  <c r="BP148" i="5"/>
  <c r="BO148" i="5"/>
  <c r="BD148" i="5"/>
  <c r="BS147" i="5"/>
  <c r="BR147" i="5"/>
  <c r="BQ147" i="5"/>
  <c r="BP147" i="5"/>
  <c r="BO147" i="5"/>
  <c r="BN147" i="5"/>
  <c r="BT147" i="5" s="1"/>
  <c r="BL147" i="5"/>
  <c r="BD147" i="5"/>
  <c r="AV147" i="5"/>
  <c r="AN147" i="5"/>
  <c r="AF147" i="5"/>
  <c r="X147" i="5"/>
  <c r="P147" i="5"/>
  <c r="L147" i="6" s="1"/>
  <c r="H147" i="5"/>
  <c r="BS146" i="5"/>
  <c r="BR146" i="5"/>
  <c r="BQ146" i="5"/>
  <c r="BQ149" i="5" s="1"/>
  <c r="BP146" i="5"/>
  <c r="BO146" i="5"/>
  <c r="BD146" i="5"/>
  <c r="BS145" i="5"/>
  <c r="BR145" i="5"/>
  <c r="BQ145" i="5"/>
  <c r="BP145" i="5"/>
  <c r="BO145" i="5"/>
  <c r="BO149" i="5" s="1"/>
  <c r="BS144" i="5"/>
  <c r="BS149" i="5" s="1"/>
  <c r="BR144" i="5"/>
  <c r="BQ144" i="5"/>
  <c r="BP144" i="5"/>
  <c r="BO144" i="5"/>
  <c r="BL144" i="5"/>
  <c r="AN143" i="5"/>
  <c r="AN151" i="5" s="1"/>
  <c r="AN161" i="5" s="1"/>
  <c r="AN173" i="5" s="1"/>
  <c r="AN196" i="5" s="1"/>
  <c r="AK143" i="5"/>
  <c r="U143" i="5"/>
  <c r="E143" i="5"/>
  <c r="BQ141" i="5"/>
  <c r="BK141" i="5"/>
  <c r="BJ141" i="5"/>
  <c r="BI141" i="5"/>
  <c r="BH141" i="5"/>
  <c r="BC141" i="5"/>
  <c r="BB141" i="5"/>
  <c r="BA141" i="5"/>
  <c r="AZ141" i="5"/>
  <c r="AY141" i="5"/>
  <c r="AU141" i="5"/>
  <c r="AT141" i="5"/>
  <c r="AS141" i="5"/>
  <c r="AR141" i="5"/>
  <c r="AM141" i="5"/>
  <c r="AL141" i="5"/>
  <c r="AK141" i="5"/>
  <c r="AJ141" i="5"/>
  <c r="AI141" i="5"/>
  <c r="AE141" i="5"/>
  <c r="AD141" i="5"/>
  <c r="AC141" i="5"/>
  <c r="AB141" i="5"/>
  <c r="W141" i="5"/>
  <c r="V141" i="5"/>
  <c r="U141" i="5"/>
  <c r="T141" i="5"/>
  <c r="S141" i="5"/>
  <c r="O141" i="5"/>
  <c r="N141" i="5"/>
  <c r="M141" i="5"/>
  <c r="L141" i="5"/>
  <c r="G141" i="5"/>
  <c r="F141" i="5"/>
  <c r="E141" i="5"/>
  <c r="D141" i="5"/>
  <c r="BS140" i="5"/>
  <c r="BR140" i="5"/>
  <c r="BQ140" i="5"/>
  <c r="BP140" i="5"/>
  <c r="BN140" i="5"/>
  <c r="BG140" i="5"/>
  <c r="BG141" i="5" s="1"/>
  <c r="BD140" i="5"/>
  <c r="AP140" i="6" s="1"/>
  <c r="AQ141" i="5"/>
  <c r="AN140" i="5"/>
  <c r="AD140" i="6" s="1"/>
  <c r="AA141" i="5"/>
  <c r="X140" i="5"/>
  <c r="H140" i="5"/>
  <c r="C141" i="5"/>
  <c r="BS139" i="5"/>
  <c r="BR139" i="5"/>
  <c r="BQ139" i="5"/>
  <c r="BP139" i="5"/>
  <c r="BO139" i="5"/>
  <c r="BD139" i="5"/>
  <c r="AV139" i="5"/>
  <c r="AN139" i="5"/>
  <c r="AF139" i="5"/>
  <c r="X139" i="5"/>
  <c r="P139" i="5"/>
  <c r="H139" i="5"/>
  <c r="BS138" i="5"/>
  <c r="BR138" i="5"/>
  <c r="BQ138" i="5"/>
  <c r="BP138" i="5"/>
  <c r="BO138" i="5"/>
  <c r="BF138" i="5"/>
  <c r="BS137" i="5"/>
  <c r="BR137" i="5"/>
  <c r="BQ137" i="5"/>
  <c r="BP137" i="5"/>
  <c r="BO137" i="5"/>
  <c r="BN137" i="5"/>
  <c r="BT137" i="5" s="1"/>
  <c r="BL137" i="5"/>
  <c r="BD137" i="5"/>
  <c r="AV137" i="5"/>
  <c r="AN137" i="5"/>
  <c r="AF137" i="5"/>
  <c r="X137" i="5"/>
  <c r="P137" i="5"/>
  <c r="L137" i="6" s="1"/>
  <c r="H137" i="5"/>
  <c r="BS136" i="5"/>
  <c r="BR136" i="5"/>
  <c r="BQ136" i="5"/>
  <c r="BP136" i="5"/>
  <c r="BP141" i="5" s="1"/>
  <c r="BO136" i="5"/>
  <c r="BN136" i="5"/>
  <c r="BT136" i="5" s="1"/>
  <c r="BL136" i="5"/>
  <c r="BD136" i="5"/>
  <c r="AV136" i="5"/>
  <c r="AN136" i="5"/>
  <c r="AF136" i="5"/>
  <c r="X136" i="5"/>
  <c r="P136" i="5"/>
  <c r="L136" i="6" s="1"/>
  <c r="H136" i="5"/>
  <c r="BS135" i="5"/>
  <c r="BR135" i="5"/>
  <c r="BQ135" i="5"/>
  <c r="BP135" i="5"/>
  <c r="BO135" i="5"/>
  <c r="BL135" i="5"/>
  <c r="AV135" i="5"/>
  <c r="AN135" i="5"/>
  <c r="X135" i="5"/>
  <c r="R135" i="6" s="1"/>
  <c r="P135" i="5"/>
  <c r="H135" i="5"/>
  <c r="BT134" i="5"/>
  <c r="BT143" i="5" s="1"/>
  <c r="BT151" i="5" s="1"/>
  <c r="BT161" i="5" s="1"/>
  <c r="BT173" i="5" s="1"/>
  <c r="BT196" i="5" s="1"/>
  <c r="BQ134" i="5"/>
  <c r="AV134" i="5"/>
  <c r="AV143" i="5" s="1"/>
  <c r="AV151" i="5" s="1"/>
  <c r="AV161" i="5" s="1"/>
  <c r="AV173" i="5" s="1"/>
  <c r="AV196" i="5" s="1"/>
  <c r="BS131" i="5"/>
  <c r="BR131" i="5"/>
  <c r="BT131" i="5" s="1"/>
  <c r="BQ131" i="5"/>
  <c r="BP131" i="5"/>
  <c r="BO131" i="5"/>
  <c r="BN131" i="5"/>
  <c r="BL131" i="5"/>
  <c r="BD131" i="5"/>
  <c r="AV131" i="5"/>
  <c r="AN131" i="5"/>
  <c r="AF131" i="5"/>
  <c r="X131" i="5"/>
  <c r="P131" i="5"/>
  <c r="H131" i="5"/>
  <c r="BS130" i="5"/>
  <c r="BR130" i="5"/>
  <c r="BQ130" i="5"/>
  <c r="BP130" i="5"/>
  <c r="BO130" i="5"/>
  <c r="BL130" i="5"/>
  <c r="AV130" i="5"/>
  <c r="AN130" i="5"/>
  <c r="AF130" i="5"/>
  <c r="X130" i="5"/>
  <c r="P130" i="5"/>
  <c r="H130" i="5"/>
  <c r="BK129" i="5"/>
  <c r="BA129" i="5"/>
  <c r="AX129" i="5"/>
  <c r="AU129" i="5"/>
  <c r="AJ129" i="5"/>
  <c r="AI129" i="5"/>
  <c r="AH129" i="5"/>
  <c r="V129" i="5"/>
  <c r="J129" i="5"/>
  <c r="G129" i="5"/>
  <c r="F129" i="5"/>
  <c r="E129" i="5"/>
  <c r="BK128" i="5"/>
  <c r="BI128" i="5"/>
  <c r="BB128" i="5"/>
  <c r="BA128" i="5"/>
  <c r="AU128" i="5"/>
  <c r="AT128" i="5"/>
  <c r="AJ128" i="5"/>
  <c r="AH128" i="5"/>
  <c r="V128" i="5"/>
  <c r="T128" i="5"/>
  <c r="S128" i="5"/>
  <c r="F128" i="5"/>
  <c r="E128" i="5"/>
  <c r="D128" i="5"/>
  <c r="C128" i="5"/>
  <c r="BK125" i="5"/>
  <c r="BJ125" i="5"/>
  <c r="BJ126" i="5" s="1"/>
  <c r="BI125" i="5"/>
  <c r="BH125" i="5"/>
  <c r="BG125" i="5"/>
  <c r="BA125" i="5"/>
  <c r="AZ125" i="5"/>
  <c r="AY125" i="5"/>
  <c r="AU125" i="5"/>
  <c r="AT125" i="5"/>
  <c r="AS125" i="5"/>
  <c r="AR125" i="5"/>
  <c r="AM125" i="5"/>
  <c r="AL125" i="5"/>
  <c r="AK125" i="5"/>
  <c r="AJ125" i="5"/>
  <c r="AE125" i="5"/>
  <c r="AD125" i="5"/>
  <c r="AC125" i="5"/>
  <c r="AB125" i="5"/>
  <c r="V125" i="5"/>
  <c r="U125" i="5"/>
  <c r="T125" i="5"/>
  <c r="N125" i="5"/>
  <c r="M125" i="5"/>
  <c r="L125" i="5"/>
  <c r="E125" i="5"/>
  <c r="D125" i="5"/>
  <c r="C125" i="5"/>
  <c r="BS124" i="5"/>
  <c r="BR124" i="5"/>
  <c r="BQ124" i="5"/>
  <c r="BP124" i="5"/>
  <c r="BO124" i="5"/>
  <c r="BL124" i="5"/>
  <c r="AX124" i="5"/>
  <c r="BD124" i="5" s="1"/>
  <c r="AV124" i="5"/>
  <c r="AP124" i="5"/>
  <c r="AN124" i="5"/>
  <c r="AF124" i="5"/>
  <c r="X124" i="6" s="1"/>
  <c r="X124" i="5"/>
  <c r="P124" i="5"/>
  <c r="L124" i="6" s="1"/>
  <c r="H124" i="5"/>
  <c r="BQ123" i="5"/>
  <c r="BP123" i="5"/>
  <c r="BO123" i="5"/>
  <c r="BK123" i="5"/>
  <c r="BL123" i="5" s="1"/>
  <c r="BC123" i="5"/>
  <c r="BC125" i="5" s="1"/>
  <c r="BB125" i="5"/>
  <c r="AU123" i="5"/>
  <c r="AM123" i="5"/>
  <c r="AE123" i="5"/>
  <c r="AF123" i="5"/>
  <c r="X123" i="6" s="1"/>
  <c r="W123" i="5"/>
  <c r="W125" i="5" s="1"/>
  <c r="X123" i="5"/>
  <c r="R123" i="6" s="1"/>
  <c r="P123" i="5"/>
  <c r="L123" i="6" s="1"/>
  <c r="O123" i="5"/>
  <c r="O125" i="5" s="1"/>
  <c r="G123" i="5"/>
  <c r="G125" i="5" s="1"/>
  <c r="F123" i="5"/>
  <c r="E123" i="5"/>
  <c r="BS122" i="5"/>
  <c r="BR122" i="5"/>
  <c r="BQ122" i="5"/>
  <c r="BP122" i="5"/>
  <c r="BN122" i="5"/>
  <c r="BL122" i="5"/>
  <c r="BD122" i="5"/>
  <c r="AP122" i="6" s="1"/>
  <c r="AN122" i="5"/>
  <c r="AI125" i="5"/>
  <c r="H122" i="5"/>
  <c r="BS121" i="5"/>
  <c r="BR121" i="5"/>
  <c r="BQ121" i="5"/>
  <c r="BP121" i="5"/>
  <c r="BO121" i="5"/>
  <c r="BL121" i="5"/>
  <c r="AV121" i="6" s="1"/>
  <c r="AN121" i="5"/>
  <c r="AD121" i="6" s="1"/>
  <c r="P121" i="5"/>
  <c r="L121" i="6" s="1"/>
  <c r="BS120" i="5"/>
  <c r="BR120" i="5"/>
  <c r="BQ120" i="5"/>
  <c r="BP120" i="5"/>
  <c r="BO120" i="5"/>
  <c r="BN120" i="5"/>
  <c r="BL120" i="5"/>
  <c r="BD120" i="5"/>
  <c r="AP120" i="6" s="1"/>
  <c r="AV120" i="5"/>
  <c r="AN120" i="5"/>
  <c r="AF120" i="5"/>
  <c r="X120" i="5"/>
  <c r="P120" i="5"/>
  <c r="H120" i="5"/>
  <c r="BS119" i="5"/>
  <c r="BQ119" i="5"/>
  <c r="BP119" i="5"/>
  <c r="BO119" i="5"/>
  <c r="BF125" i="5"/>
  <c r="BF127" i="5" s="1"/>
  <c r="BD119" i="5"/>
  <c r="AV119" i="5"/>
  <c r="AN119" i="5"/>
  <c r="AD119" i="6" s="1"/>
  <c r="AF119" i="5"/>
  <c r="X119" i="5"/>
  <c r="R119" i="6" s="1"/>
  <c r="F119" i="5"/>
  <c r="F125" i="5" s="1"/>
  <c r="AN118" i="5"/>
  <c r="AN134" i="5" s="1"/>
  <c r="AK118" i="5"/>
  <c r="AK134" i="5" s="1"/>
  <c r="AK151" i="5" s="1"/>
  <c r="AK161" i="5" s="1"/>
  <c r="AK173" i="5" s="1"/>
  <c r="AK196" i="5" s="1"/>
  <c r="AC118" i="5"/>
  <c r="AC134" i="5" s="1"/>
  <c r="X118" i="5"/>
  <c r="X134" i="5" s="1"/>
  <c r="X143" i="5" s="1"/>
  <c r="X151" i="5" s="1"/>
  <c r="X161" i="5" s="1"/>
  <c r="X173" i="5" s="1"/>
  <c r="X196" i="5" s="1"/>
  <c r="H118" i="5"/>
  <c r="H134" i="5" s="1"/>
  <c r="H143" i="5" s="1"/>
  <c r="H151" i="5" s="1"/>
  <c r="AZ116" i="5"/>
  <c r="BS115" i="5"/>
  <c r="BR115" i="5"/>
  <c r="BQ115" i="5"/>
  <c r="BP115" i="5"/>
  <c r="BO115" i="5"/>
  <c r="BN115" i="5"/>
  <c r="BT115" i="5" s="1"/>
  <c r="BL115" i="5"/>
  <c r="BD115" i="5"/>
  <c r="AV115" i="5"/>
  <c r="AN115" i="5"/>
  <c r="AF115" i="5"/>
  <c r="X115" i="5"/>
  <c r="P115" i="5"/>
  <c r="H115" i="5"/>
  <c r="BS114" i="5"/>
  <c r="BR114" i="5"/>
  <c r="BQ114" i="5"/>
  <c r="BP114" i="5"/>
  <c r="BO114" i="5"/>
  <c r="BN114" i="5"/>
  <c r="BL114" i="5"/>
  <c r="BD114" i="5"/>
  <c r="AV114" i="5"/>
  <c r="AN114" i="5"/>
  <c r="AF114" i="5"/>
  <c r="X114" i="5"/>
  <c r="P114" i="5"/>
  <c r="H114" i="5"/>
  <c r="BS113" i="5"/>
  <c r="BK113" i="5"/>
  <c r="BJ113" i="5"/>
  <c r="BI113" i="5"/>
  <c r="BH113" i="5"/>
  <c r="BG113" i="5"/>
  <c r="BF113" i="5"/>
  <c r="BL113" i="5" s="1"/>
  <c r="BC113" i="5"/>
  <c r="BB113" i="5"/>
  <c r="BA113" i="5"/>
  <c r="BQ113" i="5" s="1"/>
  <c r="AZ113" i="5"/>
  <c r="AY113" i="5"/>
  <c r="AX113" i="5"/>
  <c r="AU113" i="5"/>
  <c r="AT113" i="5"/>
  <c r="AS113" i="5"/>
  <c r="AR113" i="5"/>
  <c r="AQ113" i="5"/>
  <c r="AP113" i="5"/>
  <c r="AV113" i="5" s="1"/>
  <c r="AM113" i="5"/>
  <c r="AL113" i="5"/>
  <c r="BR113" i="5" s="1"/>
  <c r="AK113" i="5"/>
  <c r="AJ113" i="5"/>
  <c r="AI113" i="5"/>
  <c r="AH113" i="5"/>
  <c r="AE113" i="5"/>
  <c r="AD113" i="5"/>
  <c r="AC113" i="5"/>
  <c r="AB113" i="5"/>
  <c r="AA113" i="5"/>
  <c r="Z113" i="5"/>
  <c r="AF113" i="5" s="1"/>
  <c r="X113" i="6" s="1"/>
  <c r="W113" i="5"/>
  <c r="X113" i="5" s="1"/>
  <c r="V113" i="5"/>
  <c r="U113" i="5"/>
  <c r="T113" i="5"/>
  <c r="S113" i="5"/>
  <c r="R113" i="5"/>
  <c r="O113" i="5"/>
  <c r="N113" i="5"/>
  <c r="M113" i="5"/>
  <c r="L113" i="5"/>
  <c r="K113" i="5"/>
  <c r="J113" i="5"/>
  <c r="P113" i="5" s="1"/>
  <c r="H113" i="5"/>
  <c r="G113" i="5"/>
  <c r="F113" i="5"/>
  <c r="E113" i="5"/>
  <c r="D113" i="5"/>
  <c r="C113" i="5"/>
  <c r="B113" i="5"/>
  <c r="BK112" i="5"/>
  <c r="BJ112" i="5"/>
  <c r="BI112" i="5"/>
  <c r="BH112" i="5"/>
  <c r="BG112" i="5"/>
  <c r="BL112" i="5" s="1"/>
  <c r="BF112" i="5"/>
  <c r="BC112" i="5"/>
  <c r="BB112" i="5"/>
  <c r="BA112" i="5"/>
  <c r="AZ112" i="5"/>
  <c r="BD112" i="5" s="1"/>
  <c r="AY112" i="5"/>
  <c r="AX112" i="5"/>
  <c r="AU112" i="5"/>
  <c r="AT112" i="5"/>
  <c r="AS112" i="5"/>
  <c r="AR112" i="5"/>
  <c r="AQ112" i="5"/>
  <c r="AP112" i="5"/>
  <c r="AV112" i="5" s="1"/>
  <c r="AM112" i="5"/>
  <c r="AL112" i="5"/>
  <c r="AK112" i="5"/>
  <c r="AJ112" i="5"/>
  <c r="AI112" i="5"/>
  <c r="AH112" i="5"/>
  <c r="BN112" i="5" s="1"/>
  <c r="AE112" i="5"/>
  <c r="AD112" i="5"/>
  <c r="AC112" i="5"/>
  <c r="AB112" i="5"/>
  <c r="AA112" i="5"/>
  <c r="BO112" i="5" s="1"/>
  <c r="Z112" i="5"/>
  <c r="AF112" i="5" s="1"/>
  <c r="X112" i="6" s="1"/>
  <c r="W112" i="5"/>
  <c r="V112" i="5"/>
  <c r="BR112" i="5" s="1"/>
  <c r="U112" i="5"/>
  <c r="T112" i="5"/>
  <c r="S112" i="5"/>
  <c r="R112" i="5"/>
  <c r="O112" i="5"/>
  <c r="N112" i="5"/>
  <c r="M112" i="5"/>
  <c r="L112" i="5"/>
  <c r="K112" i="5"/>
  <c r="J112" i="5"/>
  <c r="P112" i="5" s="1"/>
  <c r="L112" i="6" s="1"/>
  <c r="G112" i="5"/>
  <c r="BS112" i="5" s="1"/>
  <c r="F112" i="5"/>
  <c r="E112" i="5"/>
  <c r="D112" i="5"/>
  <c r="C112" i="5"/>
  <c r="B112" i="5"/>
  <c r="BG111" i="5"/>
  <c r="BC111" i="5"/>
  <c r="BJ116" i="5"/>
  <c r="BC110" i="5"/>
  <c r="AZ110" i="5"/>
  <c r="AX110" i="5"/>
  <c r="BD110" i="5" s="1"/>
  <c r="BK109" i="5"/>
  <c r="BJ109" i="5"/>
  <c r="BJ111" i="5" s="1"/>
  <c r="BI109" i="5"/>
  <c r="BH109" i="5"/>
  <c r="BG109" i="5"/>
  <c r="BG116" i="5" s="1"/>
  <c r="BC109" i="5"/>
  <c r="BB109" i="5"/>
  <c r="BB110" i="5" s="1"/>
  <c r="BA109" i="5"/>
  <c r="BA110" i="5" s="1"/>
  <c r="AZ109" i="5"/>
  <c r="AY109" i="5"/>
  <c r="AY110" i="5" s="1"/>
  <c r="AX109" i="5"/>
  <c r="AU109" i="5"/>
  <c r="AT109" i="5"/>
  <c r="AS109" i="5"/>
  <c r="AM109" i="5"/>
  <c r="AL109" i="5"/>
  <c r="AK109" i="5"/>
  <c r="AE109" i="5"/>
  <c r="AD109" i="5"/>
  <c r="AC109" i="5"/>
  <c r="AB109" i="5"/>
  <c r="AA109" i="5"/>
  <c r="Z109" i="5"/>
  <c r="W109" i="5"/>
  <c r="V109" i="5"/>
  <c r="U109" i="5"/>
  <c r="S109" i="5"/>
  <c r="O109" i="5"/>
  <c r="N109" i="5"/>
  <c r="M109" i="5"/>
  <c r="L109" i="5"/>
  <c r="K109" i="5"/>
  <c r="G109" i="5"/>
  <c r="F109" i="5"/>
  <c r="E109" i="5"/>
  <c r="BS108" i="5"/>
  <c r="BR108" i="5"/>
  <c r="BQ108" i="5"/>
  <c r="BP108" i="5"/>
  <c r="BO108" i="5"/>
  <c r="BN108" i="5"/>
  <c r="BT108" i="5" s="1"/>
  <c r="BL108" i="5"/>
  <c r="BD108" i="5"/>
  <c r="AV108" i="5"/>
  <c r="AN108" i="5"/>
  <c r="AD108" i="6" s="1"/>
  <c r="AF108" i="5"/>
  <c r="X108" i="6" s="1"/>
  <c r="X108" i="5"/>
  <c r="P108" i="5"/>
  <c r="L108" i="6" s="1"/>
  <c r="H108" i="5"/>
  <c r="BS107" i="5"/>
  <c r="BR107" i="5"/>
  <c r="BQ107" i="5"/>
  <c r="BP107" i="5"/>
  <c r="BO107" i="5"/>
  <c r="BL107" i="5"/>
  <c r="BD107" i="5"/>
  <c r="AV107" i="5"/>
  <c r="AN107" i="5"/>
  <c r="AD107" i="6" s="1"/>
  <c r="BN107" i="5"/>
  <c r="X107" i="5"/>
  <c r="R107" i="6" s="1"/>
  <c r="P107" i="5"/>
  <c r="L107" i="6" s="1"/>
  <c r="H107" i="5"/>
  <c r="BS106" i="5"/>
  <c r="BR106" i="5"/>
  <c r="BQ106" i="5"/>
  <c r="BP106" i="5"/>
  <c r="BN106" i="5"/>
  <c r="BL106" i="5"/>
  <c r="BD106" i="5"/>
  <c r="AV106" i="5"/>
  <c r="AN106" i="5"/>
  <c r="AD106" i="6" s="1"/>
  <c r="AI109" i="5"/>
  <c r="X106" i="5"/>
  <c r="R106" i="6" s="1"/>
  <c r="P106" i="5"/>
  <c r="L106" i="6" s="1"/>
  <c r="H106" i="5"/>
  <c r="BS105" i="5"/>
  <c r="BR105" i="5"/>
  <c r="BQ105" i="5"/>
  <c r="BP105" i="5"/>
  <c r="BN105" i="5"/>
  <c r="BL105" i="5"/>
  <c r="BD105" i="5"/>
  <c r="AV105" i="5"/>
  <c r="AN105" i="5"/>
  <c r="AF105" i="5"/>
  <c r="X105" i="5"/>
  <c r="H105" i="5"/>
  <c r="BS104" i="5"/>
  <c r="BR104" i="5"/>
  <c r="BQ104" i="5"/>
  <c r="BP104" i="5"/>
  <c r="BN104" i="5"/>
  <c r="BL104" i="5"/>
  <c r="BD104" i="5"/>
  <c r="AN104" i="5"/>
  <c r="AF104" i="5"/>
  <c r="X104" i="6" s="1"/>
  <c r="X104" i="5"/>
  <c r="BO104" i="5"/>
  <c r="H104" i="5"/>
  <c r="BS103" i="5"/>
  <c r="BR103" i="5"/>
  <c r="BQ103" i="5"/>
  <c r="BP103" i="5"/>
  <c r="BO103" i="5"/>
  <c r="BN103" i="5"/>
  <c r="BL103" i="5"/>
  <c r="BD103" i="5"/>
  <c r="AV103" i="5"/>
  <c r="AN103" i="5"/>
  <c r="AD103" i="6" s="1"/>
  <c r="AF103" i="5"/>
  <c r="X103" i="6" s="1"/>
  <c r="X103" i="5"/>
  <c r="P103" i="5"/>
  <c r="H103" i="5"/>
  <c r="BS102" i="5"/>
  <c r="BR102" i="5"/>
  <c r="BQ102" i="5"/>
  <c r="BO102" i="5"/>
  <c r="BN102" i="5"/>
  <c r="BL102" i="5"/>
  <c r="BD102" i="5"/>
  <c r="AR109" i="5"/>
  <c r="AN102" i="5"/>
  <c r="AJ109" i="5"/>
  <c r="AF102" i="5"/>
  <c r="X102" i="6" s="1"/>
  <c r="P102" i="5"/>
  <c r="BS101" i="5"/>
  <c r="BR101" i="5"/>
  <c r="BQ101" i="5"/>
  <c r="BP101" i="5"/>
  <c r="BO101" i="5"/>
  <c r="BL101" i="5"/>
  <c r="BD101" i="5"/>
  <c r="AV101" i="5"/>
  <c r="AN101" i="5"/>
  <c r="AD101" i="6" s="1"/>
  <c r="AF101" i="5"/>
  <c r="X101" i="6" s="1"/>
  <c r="X101" i="5"/>
  <c r="R101" i="6" s="1"/>
  <c r="H101" i="5"/>
  <c r="BS100" i="5"/>
  <c r="BR100" i="5"/>
  <c r="BQ100" i="5"/>
  <c r="BP100" i="5"/>
  <c r="BO100" i="5"/>
  <c r="BN100" i="5"/>
  <c r="BT100" i="5" s="1"/>
  <c r="BL100" i="5"/>
  <c r="BD100" i="5"/>
  <c r="AV100" i="5"/>
  <c r="AN100" i="5"/>
  <c r="AF100" i="5"/>
  <c r="X100" i="5"/>
  <c r="R100" i="6" s="1"/>
  <c r="P100" i="5"/>
  <c r="L100" i="6" s="1"/>
  <c r="H100" i="5"/>
  <c r="BS99" i="5"/>
  <c r="BR99" i="5"/>
  <c r="BQ99" i="5"/>
  <c r="BP99" i="5"/>
  <c r="BO99" i="5"/>
  <c r="BL99" i="5"/>
  <c r="AV99" i="6" s="1"/>
  <c r="BD99" i="5"/>
  <c r="AV99" i="5"/>
  <c r="AN99" i="5"/>
  <c r="AD99" i="6" s="1"/>
  <c r="AF99" i="5"/>
  <c r="X99" i="5"/>
  <c r="BS98" i="5"/>
  <c r="BR98" i="5"/>
  <c r="BQ98" i="5"/>
  <c r="BP98" i="5"/>
  <c r="BO98" i="5"/>
  <c r="BN98" i="5"/>
  <c r="BT98" i="5" s="1"/>
  <c r="BL98" i="5"/>
  <c r="AV98" i="6" s="1"/>
  <c r="BD98" i="5"/>
  <c r="AV98" i="5"/>
  <c r="AN98" i="5"/>
  <c r="AD98" i="6" s="1"/>
  <c r="AF98" i="5"/>
  <c r="X98" i="5"/>
  <c r="R98" i="6" s="1"/>
  <c r="P98" i="5"/>
  <c r="L98" i="6" s="1"/>
  <c r="H98" i="5"/>
  <c r="BS97" i="5"/>
  <c r="BR97" i="5"/>
  <c r="BR109" i="5" s="1"/>
  <c r="BQ97" i="5"/>
  <c r="BP97" i="5"/>
  <c r="BO97" i="5"/>
  <c r="BL97" i="5"/>
  <c r="BD97" i="5"/>
  <c r="AV97" i="5"/>
  <c r="AN97" i="5"/>
  <c r="AD97" i="6" s="1"/>
  <c r="AF97" i="5"/>
  <c r="X97" i="5"/>
  <c r="BN97" i="5"/>
  <c r="H97" i="5"/>
  <c r="BS96" i="5"/>
  <c r="BR96" i="5"/>
  <c r="BQ96" i="5"/>
  <c r="BP96" i="5"/>
  <c r="BO96" i="5"/>
  <c r="BL96" i="5"/>
  <c r="BD96" i="5"/>
  <c r="AV96" i="5"/>
  <c r="AN96" i="5"/>
  <c r="AF96" i="5"/>
  <c r="X96" i="5"/>
  <c r="BN96" i="5"/>
  <c r="BT96" i="5" s="1"/>
  <c r="H96" i="5"/>
  <c r="BS95" i="5"/>
  <c r="BR95" i="5"/>
  <c r="BQ95" i="5"/>
  <c r="BP95" i="5"/>
  <c r="BO95" i="5"/>
  <c r="BL95" i="5"/>
  <c r="BD95" i="5"/>
  <c r="AV95" i="5"/>
  <c r="AN95" i="5"/>
  <c r="AF95" i="5"/>
  <c r="X95" i="6" s="1"/>
  <c r="X95" i="5"/>
  <c r="BN95" i="5"/>
  <c r="H95" i="5"/>
  <c r="BS94" i="5"/>
  <c r="BR94" i="5"/>
  <c r="BQ94" i="5"/>
  <c r="BP94" i="5"/>
  <c r="BD94" i="5"/>
  <c r="AV94" i="5"/>
  <c r="AN94" i="5"/>
  <c r="AF94" i="5"/>
  <c r="X94" i="6" s="1"/>
  <c r="X94" i="5"/>
  <c r="R94" i="6" s="1"/>
  <c r="P94" i="5"/>
  <c r="H94" i="5"/>
  <c r="BS93" i="5"/>
  <c r="BR93" i="5"/>
  <c r="BQ93" i="5"/>
  <c r="BP93" i="5"/>
  <c r="BO93" i="5"/>
  <c r="BL93" i="5"/>
  <c r="BD93" i="5"/>
  <c r="AN93" i="5"/>
  <c r="AD93" i="6" s="1"/>
  <c r="AF93" i="5"/>
  <c r="X93" i="6" s="1"/>
  <c r="X93" i="5"/>
  <c r="R93" i="6" s="1"/>
  <c r="P93" i="5"/>
  <c r="L93" i="6" s="1"/>
  <c r="H93" i="5"/>
  <c r="B109" i="5"/>
  <c r="BQ91" i="5"/>
  <c r="BQ118" i="5" s="1"/>
  <c r="BI91" i="5"/>
  <c r="BI118" i="5" s="1"/>
  <c r="BI134" i="5" s="1"/>
  <c r="M91" i="5"/>
  <c r="M118" i="5" s="1"/>
  <c r="M134" i="5" s="1"/>
  <c r="M143" i="5" s="1"/>
  <c r="E91" i="5"/>
  <c r="E118" i="5" s="1"/>
  <c r="E134" i="5" s="1"/>
  <c r="E151" i="5" s="1"/>
  <c r="E161" i="5" s="1"/>
  <c r="E173" i="5" s="1"/>
  <c r="E196" i="5" s="1"/>
  <c r="BS88" i="5"/>
  <c r="BR88" i="5"/>
  <c r="BQ88" i="5"/>
  <c r="BL88" i="5"/>
  <c r="BK88" i="5"/>
  <c r="BJ88" i="5"/>
  <c r="BI88" i="5"/>
  <c r="BH88" i="5"/>
  <c r="BG88" i="5"/>
  <c r="BF88" i="5"/>
  <c r="BD88" i="5"/>
  <c r="BC88" i="5"/>
  <c r="BB88" i="5"/>
  <c r="BA88" i="5"/>
  <c r="AZ88" i="5"/>
  <c r="AY88" i="5"/>
  <c r="AX88" i="5"/>
  <c r="AU88" i="5"/>
  <c r="AT88" i="5"/>
  <c r="AS88" i="5"/>
  <c r="AR88" i="5"/>
  <c r="AQ88" i="5"/>
  <c r="AP88" i="5"/>
  <c r="AM88" i="5"/>
  <c r="AL88" i="5"/>
  <c r="AK88" i="5"/>
  <c r="AJ88" i="5"/>
  <c r="AI88" i="5"/>
  <c r="AH88" i="5"/>
  <c r="AE88" i="5"/>
  <c r="AD88" i="5"/>
  <c r="AC88" i="5"/>
  <c r="AB88" i="5"/>
  <c r="AA88" i="5"/>
  <c r="Z88" i="5"/>
  <c r="W88" i="5"/>
  <c r="V88" i="5"/>
  <c r="U88" i="5"/>
  <c r="T88" i="5"/>
  <c r="S88" i="5"/>
  <c r="R88" i="5"/>
  <c r="O88" i="5"/>
  <c r="N88" i="5"/>
  <c r="M88" i="5"/>
  <c r="L88" i="5"/>
  <c r="K88" i="5"/>
  <c r="J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T87" i="5" s="1"/>
  <c r="BL87" i="5"/>
  <c r="BD87" i="5"/>
  <c r="AV87" i="5"/>
  <c r="AN87" i="5"/>
  <c r="AF87" i="5"/>
  <c r="X87" i="5"/>
  <c r="P87" i="5"/>
  <c r="H87" i="5"/>
  <c r="BS86" i="5"/>
  <c r="BR86" i="5"/>
  <c r="BQ86" i="5"/>
  <c r="BP86" i="5"/>
  <c r="BO86" i="5"/>
  <c r="BN86" i="5"/>
  <c r="BL86" i="5"/>
  <c r="BD86" i="5"/>
  <c r="AV86" i="5"/>
  <c r="AV88" i="5" s="1"/>
  <c r="AN86" i="5"/>
  <c r="AF86" i="5"/>
  <c r="X86" i="5"/>
  <c r="P86" i="5"/>
  <c r="H86" i="5"/>
  <c r="BS85" i="5"/>
  <c r="BT85" i="5" s="1"/>
  <c r="BR85" i="5"/>
  <c r="BQ85" i="5"/>
  <c r="BP85" i="5"/>
  <c r="BO85" i="5"/>
  <c r="BN85" i="5"/>
  <c r="BL85" i="5"/>
  <c r="BD85" i="5"/>
  <c r="AV85" i="5"/>
  <c r="AN85" i="5"/>
  <c r="AN88" i="5" s="1"/>
  <c r="AF85" i="5"/>
  <c r="AF88" i="5" s="1"/>
  <c r="X85" i="5"/>
  <c r="X88" i="5" s="1"/>
  <c r="P85" i="5"/>
  <c r="P88" i="5" s="1"/>
  <c r="H85" i="5"/>
  <c r="BQ84" i="5"/>
  <c r="BI84" i="5"/>
  <c r="AK84" i="5"/>
  <c r="AK91" i="5" s="1"/>
  <c r="AC84" i="5"/>
  <c r="AC91" i="5" s="1"/>
  <c r="U84" i="5"/>
  <c r="U91" i="5" s="1"/>
  <c r="U118" i="5" s="1"/>
  <c r="U134" i="5" s="1"/>
  <c r="U151" i="5" s="1"/>
  <c r="U161" i="5" s="1"/>
  <c r="U173" i="5" s="1"/>
  <c r="U196" i="5" s="1"/>
  <c r="M84" i="5"/>
  <c r="BK82" i="5"/>
  <c r="BI82" i="5"/>
  <c r="BH82" i="5"/>
  <c r="BG82" i="5"/>
  <c r="BC82" i="5"/>
  <c r="BB82" i="5"/>
  <c r="BA82" i="5"/>
  <c r="AZ82" i="5"/>
  <c r="AY82" i="5"/>
  <c r="AU82" i="5"/>
  <c r="AS82" i="5"/>
  <c r="AQ82" i="5"/>
  <c r="AM82" i="5"/>
  <c r="AL82" i="5"/>
  <c r="AK82" i="5"/>
  <c r="AI82" i="5"/>
  <c r="AE82" i="5"/>
  <c r="AD82" i="5"/>
  <c r="AC82" i="5"/>
  <c r="AB82" i="5"/>
  <c r="W82" i="5"/>
  <c r="V82" i="5"/>
  <c r="U82" i="5"/>
  <c r="O82" i="5"/>
  <c r="N82" i="5"/>
  <c r="M82" i="5"/>
  <c r="L82" i="5"/>
  <c r="G82" i="5"/>
  <c r="F82" i="5"/>
  <c r="E82" i="5"/>
  <c r="BS81" i="5"/>
  <c r="BR81" i="5"/>
  <c r="BQ81" i="5"/>
  <c r="BO81" i="5"/>
  <c r="BN81" i="5"/>
  <c r="BL81" i="5"/>
  <c r="BD81" i="5"/>
  <c r="AV81" i="5"/>
  <c r="AR81" i="5"/>
  <c r="AF81" i="5"/>
  <c r="X81" i="6" s="1"/>
  <c r="T82" i="5"/>
  <c r="P81" i="5"/>
  <c r="L81" i="6" s="1"/>
  <c r="H81" i="5"/>
  <c r="BS80" i="5"/>
  <c r="BR80" i="5"/>
  <c r="BQ80" i="5"/>
  <c r="BO80" i="5"/>
  <c r="BN80" i="5"/>
  <c r="BL80" i="5"/>
  <c r="BD80" i="5"/>
  <c r="AV80" i="5"/>
  <c r="AR82" i="5"/>
  <c r="AN80" i="5"/>
  <c r="AF80" i="5"/>
  <c r="X80" i="5"/>
  <c r="P80" i="5"/>
  <c r="L222" i="5"/>
  <c r="D82" i="5"/>
  <c r="BS79" i="5"/>
  <c r="BR79" i="5"/>
  <c r="BQ79" i="5"/>
  <c r="BT79" i="5" s="1"/>
  <c r="BP79" i="5"/>
  <c r="BO79" i="5"/>
  <c r="BN79" i="5"/>
  <c r="BL79" i="5"/>
  <c r="BD79" i="5"/>
  <c r="AV79" i="5"/>
  <c r="AN79" i="5"/>
  <c r="AF79" i="5"/>
  <c r="X79" i="5"/>
  <c r="P79" i="5"/>
  <c r="H79" i="5"/>
  <c r="BS78" i="5"/>
  <c r="BR78" i="5"/>
  <c r="BQ78" i="5"/>
  <c r="BP78" i="5"/>
  <c r="BO78" i="5"/>
  <c r="BL78" i="5"/>
  <c r="BD78" i="5"/>
  <c r="AV78" i="5"/>
  <c r="AN78" i="5"/>
  <c r="AF78" i="5"/>
  <c r="X78" i="5"/>
  <c r="H78" i="5"/>
  <c r="BS77" i="5"/>
  <c r="BR77" i="5"/>
  <c r="BQ77" i="5"/>
  <c r="BP77" i="5"/>
  <c r="BO77" i="5"/>
  <c r="BN77" i="5"/>
  <c r="BL77" i="5"/>
  <c r="AV77" i="6" s="1"/>
  <c r="BJ82" i="5"/>
  <c r="BD77" i="5"/>
  <c r="AT82" i="5"/>
  <c r="AN77" i="5"/>
  <c r="AF77" i="5"/>
  <c r="X77" i="5"/>
  <c r="P77" i="5"/>
  <c r="H77" i="5"/>
  <c r="F77" i="5"/>
  <c r="BS76" i="5"/>
  <c r="BR76" i="5"/>
  <c r="BQ76" i="5"/>
  <c r="BP76" i="5"/>
  <c r="BO76" i="5"/>
  <c r="BL76" i="5"/>
  <c r="BF76" i="5"/>
  <c r="BD76" i="5"/>
  <c r="AV76" i="5"/>
  <c r="AN76" i="5"/>
  <c r="AF76" i="5"/>
  <c r="X76" i="5"/>
  <c r="P76" i="5"/>
  <c r="H76" i="5"/>
  <c r="BS75" i="5"/>
  <c r="BR75" i="5"/>
  <c r="BQ75" i="5"/>
  <c r="BP75" i="5"/>
  <c r="BO75" i="5"/>
  <c r="BN75" i="5"/>
  <c r="BT75" i="5" s="1"/>
  <c r="BL75" i="5"/>
  <c r="BD75" i="5"/>
  <c r="AV75" i="5"/>
  <c r="AN75" i="5"/>
  <c r="AF75" i="5"/>
  <c r="X75" i="5"/>
  <c r="P75" i="5"/>
  <c r="H75" i="5"/>
  <c r="BS74" i="5"/>
  <c r="BR74" i="5"/>
  <c r="BQ74" i="5"/>
  <c r="BP74" i="5"/>
  <c r="BO74" i="5"/>
  <c r="BT74" i="5" s="1"/>
  <c r="BN74" i="5"/>
  <c r="BL74" i="5"/>
  <c r="BD74" i="5"/>
  <c r="AP74" i="6" s="1"/>
  <c r="AV74" i="5"/>
  <c r="AN74" i="5"/>
  <c r="AD74" i="6" s="1"/>
  <c r="S82" i="5"/>
  <c r="P74" i="5"/>
  <c r="H74" i="5"/>
  <c r="C82" i="5"/>
  <c r="BS73" i="5"/>
  <c r="BR73" i="5"/>
  <c r="BQ73" i="5"/>
  <c r="BP73" i="5"/>
  <c r="BO73" i="5"/>
  <c r="BN73" i="5"/>
  <c r="BL73" i="5"/>
  <c r="BD73" i="5"/>
  <c r="AV73" i="5"/>
  <c r="AJ73" i="6" s="1"/>
  <c r="AN73" i="5"/>
  <c r="AF73" i="5"/>
  <c r="X73" i="6" s="1"/>
  <c r="X73" i="5"/>
  <c r="P73" i="5"/>
  <c r="H73" i="5"/>
  <c r="F73" i="6" s="1"/>
  <c r="BS72" i="5"/>
  <c r="BR72" i="5"/>
  <c r="BQ72" i="5"/>
  <c r="BP72" i="5"/>
  <c r="BO72" i="5"/>
  <c r="BN72" i="5"/>
  <c r="BD72" i="5"/>
  <c r="AV72" i="5"/>
  <c r="AN72" i="5"/>
  <c r="AF72" i="5"/>
  <c r="X72" i="5"/>
  <c r="P72" i="5"/>
  <c r="H72" i="5"/>
  <c r="BS71" i="5"/>
  <c r="BR71" i="5"/>
  <c r="BQ71" i="5"/>
  <c r="BP71" i="5"/>
  <c r="BO71" i="5"/>
  <c r="BL71" i="5"/>
  <c r="BD71" i="5"/>
  <c r="AN71" i="5"/>
  <c r="AF71" i="5"/>
  <c r="X71" i="5"/>
  <c r="BS70" i="5"/>
  <c r="BR70" i="5"/>
  <c r="BQ70" i="5"/>
  <c r="BQ82" i="5" s="1"/>
  <c r="BP70" i="5"/>
  <c r="BO70" i="5"/>
  <c r="BL70" i="5"/>
  <c r="BD70" i="5"/>
  <c r="AX70" i="5"/>
  <c r="AV70" i="5"/>
  <c r="AN70" i="5"/>
  <c r="X70" i="5"/>
  <c r="P70" i="5"/>
  <c r="L70" i="6" s="1"/>
  <c r="H70" i="5"/>
  <c r="BS69" i="5"/>
  <c r="BR69" i="5"/>
  <c r="BR82" i="5" s="1"/>
  <c r="BQ69" i="5"/>
  <c r="BP69" i="5"/>
  <c r="BO69" i="5"/>
  <c r="BL69" i="5"/>
  <c r="BD69" i="5"/>
  <c r="AP69" i="6" s="1"/>
  <c r="AV69" i="5"/>
  <c r="AN69" i="5"/>
  <c r="AD69" i="6" s="1"/>
  <c r="AF69" i="5"/>
  <c r="X69" i="6" s="1"/>
  <c r="P69" i="5"/>
  <c r="L69" i="6" s="1"/>
  <c r="H69" i="5"/>
  <c r="BS68" i="5"/>
  <c r="BR68" i="5"/>
  <c r="BQ68" i="5"/>
  <c r="BP68" i="5"/>
  <c r="BO68" i="5"/>
  <c r="BL68" i="5"/>
  <c r="B68" i="5"/>
  <c r="BQ67" i="5"/>
  <c r="BI67" i="5"/>
  <c r="BA67" i="5"/>
  <c r="BA84" i="5" s="1"/>
  <c r="BA91" i="5" s="1"/>
  <c r="BA118" i="5" s="1"/>
  <c r="BA134" i="5" s="1"/>
  <c r="AV67" i="5"/>
  <c r="AV84" i="5" s="1"/>
  <c r="AV91" i="5" s="1"/>
  <c r="AV118" i="5" s="1"/>
  <c r="AS67" i="5"/>
  <c r="AS84" i="5" s="1"/>
  <c r="AS91" i="5" s="1"/>
  <c r="AS118" i="5" s="1"/>
  <c r="AS134" i="5" s="1"/>
  <c r="AK67" i="5"/>
  <c r="AC67" i="5"/>
  <c r="U67" i="5"/>
  <c r="M67" i="5"/>
  <c r="E67" i="5"/>
  <c r="E84" i="5" s="1"/>
  <c r="BA65" i="5"/>
  <c r="J65" i="5"/>
  <c r="E65" i="5"/>
  <c r="D65" i="5"/>
  <c r="C65" i="5"/>
  <c r="BH64" i="5"/>
  <c r="BG64" i="5"/>
  <c r="BF64" i="5"/>
  <c r="AT64" i="5"/>
  <c r="AS64" i="5"/>
  <c r="AR64" i="5"/>
  <c r="AQ64" i="5"/>
  <c r="AE64" i="5"/>
  <c r="AD64" i="5"/>
  <c r="AB64" i="5"/>
  <c r="AA64" i="5"/>
  <c r="S64" i="5"/>
  <c r="M64" i="5"/>
  <c r="E64" i="5"/>
  <c r="D64" i="5"/>
  <c r="C64" i="5"/>
  <c r="BK63" i="5"/>
  <c r="BJ63" i="5"/>
  <c r="BI63" i="5"/>
  <c r="AX63" i="5"/>
  <c r="AU63" i="5"/>
  <c r="AT63" i="5"/>
  <c r="AS63" i="5"/>
  <c r="AR63" i="5"/>
  <c r="AM63" i="5"/>
  <c r="AL63" i="5"/>
  <c r="AJ63" i="5"/>
  <c r="AI63" i="5"/>
  <c r="AH63" i="5"/>
  <c r="W63" i="5"/>
  <c r="V63" i="5"/>
  <c r="U63" i="5"/>
  <c r="T63" i="5"/>
  <c r="S63" i="5"/>
  <c r="K63" i="5"/>
  <c r="J63" i="5"/>
  <c r="G63" i="5"/>
  <c r="F63" i="5"/>
  <c r="E63" i="5"/>
  <c r="D63" i="5"/>
  <c r="C63" i="5"/>
  <c r="BK61" i="5"/>
  <c r="BK64" i="5" s="1"/>
  <c r="BJ61" i="5"/>
  <c r="BJ64" i="5" s="1"/>
  <c r="BI61" i="5"/>
  <c r="BI64" i="5" s="1"/>
  <c r="BH61" i="5"/>
  <c r="BG61" i="5"/>
  <c r="BF61" i="5"/>
  <c r="BC61" i="5"/>
  <c r="BC64" i="5" s="1"/>
  <c r="BB61" i="5"/>
  <c r="BB64" i="5" s="1"/>
  <c r="BB111" i="5" s="1"/>
  <c r="BB116" i="5" s="1"/>
  <c r="BA61" i="5"/>
  <c r="BA64" i="5" s="1"/>
  <c r="BA111" i="5" s="1"/>
  <c r="AZ61" i="5"/>
  <c r="AZ64" i="5" s="1"/>
  <c r="AZ111" i="5" s="1"/>
  <c r="AY61" i="5"/>
  <c r="AY64" i="5" s="1"/>
  <c r="AY111" i="5" s="1"/>
  <c r="AY116" i="5" s="1"/>
  <c r="AX61" i="5"/>
  <c r="AX64" i="5" s="1"/>
  <c r="AX111" i="5" s="1"/>
  <c r="AU61" i="5"/>
  <c r="AU64" i="5" s="1"/>
  <c r="AT61" i="5"/>
  <c r="AS61" i="5"/>
  <c r="AR61" i="5"/>
  <c r="AQ61" i="5"/>
  <c r="AP61" i="5"/>
  <c r="AP64" i="5" s="1"/>
  <c r="AP111" i="5" s="1"/>
  <c r="AM61" i="5"/>
  <c r="AM64" i="5" s="1"/>
  <c r="AL61" i="5"/>
  <c r="AL64" i="5" s="1"/>
  <c r="AK61" i="5"/>
  <c r="AK64" i="5" s="1"/>
  <c r="AJ61" i="5"/>
  <c r="AJ64" i="5" s="1"/>
  <c r="AI61" i="5"/>
  <c r="AI64" i="5" s="1"/>
  <c r="AH61" i="5"/>
  <c r="AH64" i="5" s="1"/>
  <c r="AE61" i="5"/>
  <c r="AD61" i="5"/>
  <c r="AC61" i="5"/>
  <c r="AC64" i="5" s="1"/>
  <c r="AB61" i="5"/>
  <c r="AA61" i="5"/>
  <c r="Z61" i="5"/>
  <c r="Z64" i="5" s="1"/>
  <c r="W61" i="5"/>
  <c r="W64" i="5" s="1"/>
  <c r="V61" i="5"/>
  <c r="V64" i="5" s="1"/>
  <c r="U61" i="5"/>
  <c r="U64" i="5" s="1"/>
  <c r="T61" i="5"/>
  <c r="T64" i="5" s="1"/>
  <c r="S61" i="5"/>
  <c r="R61" i="5"/>
  <c r="R64" i="5" s="1"/>
  <c r="R111" i="5" s="1"/>
  <c r="O61" i="5"/>
  <c r="O64" i="5" s="1"/>
  <c r="N61" i="5"/>
  <c r="N64" i="5" s="1"/>
  <c r="M61" i="5"/>
  <c r="L61" i="5"/>
  <c r="L64" i="5" s="1"/>
  <c r="K61" i="5"/>
  <c r="K64" i="5" s="1"/>
  <c r="J61" i="5"/>
  <c r="J64" i="5" s="1"/>
  <c r="G61" i="5"/>
  <c r="G64" i="5" s="1"/>
  <c r="F61" i="5"/>
  <c r="F64" i="5" s="1"/>
  <c r="E61" i="5"/>
  <c r="D61" i="5"/>
  <c r="C61" i="5"/>
  <c r="B61" i="5"/>
  <c r="B64" i="5" s="1"/>
  <c r="B111" i="5" s="1"/>
  <c r="BS60" i="5"/>
  <c r="BR60" i="5"/>
  <c r="BQ60" i="5"/>
  <c r="BT60" i="5" s="1"/>
  <c r="BP60" i="5"/>
  <c r="BO60" i="5"/>
  <c r="BN60" i="5"/>
  <c r="BL60" i="5"/>
  <c r="BD60" i="5"/>
  <c r="AV60" i="5"/>
  <c r="AN60" i="5"/>
  <c r="AF60" i="5"/>
  <c r="X60" i="5"/>
  <c r="P60" i="5"/>
  <c r="H60" i="5"/>
  <c r="BT59" i="5"/>
  <c r="BS59" i="5"/>
  <c r="BR59" i="5"/>
  <c r="BQ59" i="5"/>
  <c r="BP59" i="5"/>
  <c r="BO59" i="5"/>
  <c r="BN59" i="5"/>
  <c r="BL59" i="5"/>
  <c r="BD59" i="5"/>
  <c r="AV59" i="5"/>
  <c r="AN59" i="5"/>
  <c r="AF59" i="5"/>
  <c r="X59" i="5"/>
  <c r="P59" i="5"/>
  <c r="H59" i="5"/>
  <c r="BS58" i="5"/>
  <c r="BR58" i="5"/>
  <c r="BQ58" i="5"/>
  <c r="BP58" i="5"/>
  <c r="BO58" i="5"/>
  <c r="BN58" i="5"/>
  <c r="BT58" i="5" s="1"/>
  <c r="BL58" i="5"/>
  <c r="BD58" i="5"/>
  <c r="AV58" i="5"/>
  <c r="AN58" i="5"/>
  <c r="AF58" i="5"/>
  <c r="X58" i="5"/>
  <c r="P58" i="5"/>
  <c r="H58" i="5"/>
  <c r="BS57" i="5"/>
  <c r="BR57" i="5"/>
  <c r="BQ57" i="5"/>
  <c r="BP57" i="5"/>
  <c r="BO57" i="5"/>
  <c r="BN57" i="5"/>
  <c r="BL57" i="5"/>
  <c r="BD57" i="5"/>
  <c r="AV57" i="5"/>
  <c r="AN57" i="5"/>
  <c r="AF57" i="5"/>
  <c r="X57" i="5"/>
  <c r="P57" i="5"/>
  <c r="H57" i="5"/>
  <c r="BS56" i="5"/>
  <c r="BR56" i="5"/>
  <c r="BQ56" i="5"/>
  <c r="BP56" i="5"/>
  <c r="BT56" i="5" s="1"/>
  <c r="BO56" i="5"/>
  <c r="BN56" i="5"/>
  <c r="BL56" i="5"/>
  <c r="BD56" i="5"/>
  <c r="AV56" i="5"/>
  <c r="AN56" i="5"/>
  <c r="AF56" i="5"/>
  <c r="X56" i="5"/>
  <c r="P56" i="5"/>
  <c r="H56" i="5"/>
  <c r="BS55" i="5"/>
  <c r="BR55" i="5"/>
  <c r="BQ55" i="5"/>
  <c r="BP55" i="5"/>
  <c r="BO55" i="5"/>
  <c r="BN55" i="5"/>
  <c r="BL55" i="5"/>
  <c r="BD55" i="5"/>
  <c r="AV55" i="5"/>
  <c r="AN55" i="5"/>
  <c r="AF55" i="5"/>
  <c r="X55" i="5"/>
  <c r="P55" i="5"/>
  <c r="H55" i="5"/>
  <c r="BS54" i="5"/>
  <c r="BR54" i="5"/>
  <c r="BQ54" i="5"/>
  <c r="BP54" i="5"/>
  <c r="BO54" i="5"/>
  <c r="BN54" i="5"/>
  <c r="BT54" i="5" s="1"/>
  <c r="BL54" i="5"/>
  <c r="BD54" i="5"/>
  <c r="AV54" i="5"/>
  <c r="AN54" i="5"/>
  <c r="AF54" i="5"/>
  <c r="X54" i="5"/>
  <c r="P54" i="5"/>
  <c r="H54" i="5"/>
  <c r="BS53" i="5"/>
  <c r="BR53" i="5"/>
  <c r="BQ53" i="5"/>
  <c r="BP53" i="5"/>
  <c r="BO53" i="5"/>
  <c r="BN53" i="5"/>
  <c r="BL53" i="5"/>
  <c r="BD53" i="5"/>
  <c r="AV53" i="5"/>
  <c r="AN53" i="5"/>
  <c r="AF53" i="5"/>
  <c r="X53" i="5"/>
  <c r="P53" i="5"/>
  <c r="H53" i="5"/>
  <c r="BS52" i="5"/>
  <c r="BR52" i="5"/>
  <c r="BQ52" i="5"/>
  <c r="BP52" i="5"/>
  <c r="BO52" i="5"/>
  <c r="BN52" i="5"/>
  <c r="BT52" i="5" s="1"/>
  <c r="BL52" i="5"/>
  <c r="BD52" i="5"/>
  <c r="AV52" i="5"/>
  <c r="AN52" i="5"/>
  <c r="AF52" i="5"/>
  <c r="X52" i="5"/>
  <c r="P52" i="5"/>
  <c r="H52" i="5"/>
  <c r="BS51" i="5"/>
  <c r="BR51" i="5"/>
  <c r="BQ51" i="5"/>
  <c r="BP51" i="5"/>
  <c r="BT51" i="5" s="1"/>
  <c r="BO51" i="5"/>
  <c r="BL51" i="5"/>
  <c r="BD51" i="5"/>
  <c r="AV51" i="5"/>
  <c r="AN51" i="5"/>
  <c r="AF51" i="5"/>
  <c r="X51" i="5"/>
  <c r="P51" i="5"/>
  <c r="J51" i="5"/>
  <c r="BN51" i="5" s="1"/>
  <c r="H51" i="5"/>
  <c r="BS50" i="5"/>
  <c r="BR50" i="5"/>
  <c r="BQ50" i="5"/>
  <c r="BP50" i="5"/>
  <c r="BO50" i="5"/>
  <c r="BN50" i="5"/>
  <c r="BT50" i="5" s="1"/>
  <c r="BB50" i="6" s="1"/>
  <c r="BL50" i="5"/>
  <c r="BD50" i="5"/>
  <c r="AV50" i="5"/>
  <c r="AJ50" i="6" s="1"/>
  <c r="AN50" i="5"/>
  <c r="AD50" i="6" s="1"/>
  <c r="AF50" i="5"/>
  <c r="X50" i="6" s="1"/>
  <c r="X50" i="5"/>
  <c r="R50" i="6" s="1"/>
  <c r="P50" i="5"/>
  <c r="L50" i="6" s="1"/>
  <c r="H50" i="5"/>
  <c r="F50" i="6" s="1"/>
  <c r="BS49" i="5"/>
  <c r="BR49" i="5"/>
  <c r="BQ49" i="5"/>
  <c r="BP49" i="5"/>
  <c r="BO49" i="5"/>
  <c r="BN49" i="5"/>
  <c r="BT49" i="5" s="1"/>
  <c r="BL49" i="5"/>
  <c r="BD49" i="5"/>
  <c r="AV49" i="5"/>
  <c r="AN49" i="5"/>
  <c r="AD49" i="6" s="1"/>
  <c r="AF49" i="5"/>
  <c r="X49" i="6" s="1"/>
  <c r="X49" i="5"/>
  <c r="P49" i="5"/>
  <c r="L49" i="6" s="1"/>
  <c r="H49" i="5"/>
  <c r="BS48" i="5"/>
  <c r="BR48" i="5"/>
  <c r="BQ48" i="5"/>
  <c r="BP48" i="5"/>
  <c r="BO48" i="5"/>
  <c r="BN48" i="5"/>
  <c r="BT48" i="5" s="1"/>
  <c r="BL48" i="5"/>
  <c r="BD48" i="5"/>
  <c r="AV48" i="5"/>
  <c r="AN48" i="5"/>
  <c r="AF48" i="5"/>
  <c r="X48" i="5"/>
  <c r="P48" i="5"/>
  <c r="H48" i="5"/>
  <c r="BS47" i="5"/>
  <c r="BR47" i="5"/>
  <c r="BQ47" i="5"/>
  <c r="BT47" i="5" s="1"/>
  <c r="BP47" i="5"/>
  <c r="BO47" i="5"/>
  <c r="BN47" i="5"/>
  <c r="BL47" i="5"/>
  <c r="BD47" i="5"/>
  <c r="AV47" i="5"/>
  <c r="AN47" i="5"/>
  <c r="AF47" i="5"/>
  <c r="X47" i="5"/>
  <c r="P47" i="5"/>
  <c r="H47" i="5"/>
  <c r="BT46" i="5"/>
  <c r="BS46" i="5"/>
  <c r="BR46" i="5"/>
  <c r="BQ46" i="5"/>
  <c r="BP46" i="5"/>
  <c r="BO46" i="5"/>
  <c r="BN46" i="5"/>
  <c r="BL46" i="5"/>
  <c r="BD46" i="5"/>
  <c r="AV46" i="5"/>
  <c r="AN46" i="5"/>
  <c r="AF46" i="5"/>
  <c r="X46" i="5"/>
  <c r="P46" i="5"/>
  <c r="H46" i="5"/>
  <c r="BS45" i="5"/>
  <c r="BR45" i="5"/>
  <c r="BQ45" i="5"/>
  <c r="BP45" i="5"/>
  <c r="BO45" i="5"/>
  <c r="BN45" i="5"/>
  <c r="BT45" i="5" s="1"/>
  <c r="BL45" i="5"/>
  <c r="BD45" i="5"/>
  <c r="AV45" i="5"/>
  <c r="AN45" i="5"/>
  <c r="AF45" i="5"/>
  <c r="X45" i="5"/>
  <c r="P45" i="5"/>
  <c r="H45" i="5"/>
  <c r="BS44" i="5"/>
  <c r="BR44" i="5"/>
  <c r="BQ44" i="5"/>
  <c r="BP44" i="5"/>
  <c r="BT44" i="5" s="1"/>
  <c r="BO44" i="5"/>
  <c r="BN44" i="5"/>
  <c r="BL44" i="5"/>
  <c r="BD44" i="5"/>
  <c r="AV44" i="5"/>
  <c r="AN44" i="5"/>
  <c r="AF44" i="5"/>
  <c r="X44" i="5"/>
  <c r="P44" i="5"/>
  <c r="H44" i="5"/>
  <c r="BS43" i="5"/>
  <c r="BR43" i="5"/>
  <c r="BQ43" i="5"/>
  <c r="BP43" i="5"/>
  <c r="BO43" i="5"/>
  <c r="BN43" i="5"/>
  <c r="BL43" i="5"/>
  <c r="BD43" i="5"/>
  <c r="AV43" i="5"/>
  <c r="AN43" i="5"/>
  <c r="AF43" i="5"/>
  <c r="X43" i="5"/>
  <c r="P43" i="5"/>
  <c r="H43" i="5"/>
  <c r="BS42" i="5"/>
  <c r="BR42" i="5"/>
  <c r="BQ42" i="5"/>
  <c r="BP42" i="5"/>
  <c r="BO42" i="5"/>
  <c r="BN42" i="5"/>
  <c r="BL42" i="5"/>
  <c r="BD42" i="5"/>
  <c r="AV42" i="5"/>
  <c r="AN42" i="5"/>
  <c r="AF42" i="5"/>
  <c r="X42" i="5"/>
  <c r="P42" i="5"/>
  <c r="H42" i="5"/>
  <c r="BS41" i="5"/>
  <c r="BR41" i="5"/>
  <c r="BQ41" i="5"/>
  <c r="BP41" i="5"/>
  <c r="BO41" i="5"/>
  <c r="BN41" i="5"/>
  <c r="BL41" i="5"/>
  <c r="BD41" i="5"/>
  <c r="AV41" i="5"/>
  <c r="AN41" i="5"/>
  <c r="AF41" i="5"/>
  <c r="X41" i="5"/>
  <c r="P41" i="5"/>
  <c r="H41" i="5"/>
  <c r="BS40" i="5"/>
  <c r="BR40" i="5"/>
  <c r="BQ40" i="5"/>
  <c r="BP40" i="5"/>
  <c r="BO40" i="5"/>
  <c r="BT40" i="5" s="1"/>
  <c r="BN40" i="5"/>
  <c r="BL40" i="5"/>
  <c r="BD40" i="5"/>
  <c r="AV40" i="5"/>
  <c r="AN40" i="5"/>
  <c r="AF40" i="5"/>
  <c r="X40" i="5"/>
  <c r="P40" i="5"/>
  <c r="H40" i="5"/>
  <c r="BS39" i="5"/>
  <c r="BR39" i="5"/>
  <c r="BQ39" i="5"/>
  <c r="BP39" i="5"/>
  <c r="BO39" i="5"/>
  <c r="BN39" i="5"/>
  <c r="BL39" i="5"/>
  <c r="BD39" i="5"/>
  <c r="AV39" i="5"/>
  <c r="AN39" i="5"/>
  <c r="AF39" i="5"/>
  <c r="X39" i="5"/>
  <c r="P39" i="5"/>
  <c r="H39" i="5"/>
  <c r="BQ38" i="5"/>
  <c r="BI38" i="5"/>
  <c r="BD38" i="5"/>
  <c r="BD67" i="5" s="1"/>
  <c r="BD84" i="5" s="1"/>
  <c r="BD91" i="5" s="1"/>
  <c r="BD118" i="5" s="1"/>
  <c r="BD134" i="5" s="1"/>
  <c r="BD143" i="5" s="1"/>
  <c r="BD151" i="5" s="1"/>
  <c r="BD161" i="5" s="1"/>
  <c r="BD173" i="5" s="1"/>
  <c r="BD196" i="5" s="1"/>
  <c r="BA38" i="5"/>
  <c r="AV38" i="5"/>
  <c r="AS38" i="5"/>
  <c r="AN38" i="5"/>
  <c r="AN67" i="5" s="1"/>
  <c r="AN84" i="5" s="1"/>
  <c r="AN91" i="5" s="1"/>
  <c r="AK38" i="5"/>
  <c r="AC38" i="5"/>
  <c r="X38" i="5"/>
  <c r="X67" i="5" s="1"/>
  <c r="X84" i="5" s="1"/>
  <c r="X91" i="5" s="1"/>
  <c r="U38" i="5"/>
  <c r="M38" i="5"/>
  <c r="E38" i="5"/>
  <c r="BS36" i="5"/>
  <c r="BS63" i="5" s="1"/>
  <c r="BK36" i="5"/>
  <c r="BJ36" i="5"/>
  <c r="BJ128" i="5" s="1"/>
  <c r="BI36" i="5"/>
  <c r="BI129" i="5" s="1"/>
  <c r="BH36" i="5"/>
  <c r="BG36" i="5"/>
  <c r="BF36" i="5"/>
  <c r="BD36" i="5"/>
  <c r="BD63" i="5" s="1"/>
  <c r="BC36" i="5"/>
  <c r="BB36" i="5"/>
  <c r="BA36" i="5"/>
  <c r="BA63" i="5" s="1"/>
  <c r="AZ36" i="5"/>
  <c r="AY36" i="5"/>
  <c r="AX36" i="5"/>
  <c r="AX128" i="5" s="1"/>
  <c r="AU36" i="5"/>
  <c r="AT36" i="5"/>
  <c r="AT129" i="5" s="1"/>
  <c r="AS36" i="5"/>
  <c r="AS128" i="5" s="1"/>
  <c r="AR36" i="5"/>
  <c r="AR128" i="5" s="1"/>
  <c r="AQ36" i="5"/>
  <c r="AP36" i="5"/>
  <c r="AN36" i="5"/>
  <c r="AN63" i="5" s="1"/>
  <c r="AM36" i="5"/>
  <c r="AL36" i="5"/>
  <c r="AK36" i="5"/>
  <c r="AJ36" i="5"/>
  <c r="AJ154" i="5" s="1"/>
  <c r="AI36" i="5"/>
  <c r="AH36" i="5"/>
  <c r="AE36" i="5"/>
  <c r="AD36" i="5"/>
  <c r="AC36" i="5"/>
  <c r="AB36" i="5"/>
  <c r="AA36" i="5"/>
  <c r="Z36" i="5"/>
  <c r="W36" i="5"/>
  <c r="W129" i="5" s="1"/>
  <c r="V36" i="5"/>
  <c r="U36" i="5"/>
  <c r="T36" i="5"/>
  <c r="T154" i="5" s="1"/>
  <c r="S36" i="5"/>
  <c r="R36" i="5"/>
  <c r="O36" i="5"/>
  <c r="N36" i="5"/>
  <c r="M36" i="5"/>
  <c r="L36" i="5"/>
  <c r="K36" i="5"/>
  <c r="J36" i="5"/>
  <c r="J128" i="5" s="1"/>
  <c r="G36" i="5"/>
  <c r="G128" i="5" s="1"/>
  <c r="F36" i="5"/>
  <c r="E36" i="5"/>
  <c r="E154" i="5" s="1"/>
  <c r="E159" i="5" s="1"/>
  <c r="D36" i="5"/>
  <c r="C36" i="5"/>
  <c r="B36" i="5"/>
  <c r="BS35" i="5"/>
  <c r="BR35" i="5"/>
  <c r="BQ35" i="5"/>
  <c r="BT35" i="5" s="1"/>
  <c r="BP35" i="5"/>
  <c r="BO35" i="5"/>
  <c r="BN35" i="5"/>
  <c r="BL35" i="5"/>
  <c r="BD35" i="5"/>
  <c r="AV35" i="5"/>
  <c r="AN35" i="5"/>
  <c r="AF35" i="5"/>
  <c r="X35" i="5"/>
  <c r="P35" i="5"/>
  <c r="H35" i="5"/>
  <c r="BT34" i="5"/>
  <c r="BS34" i="5"/>
  <c r="BR34" i="5"/>
  <c r="BQ34" i="5"/>
  <c r="BP34" i="5"/>
  <c r="BO34" i="5"/>
  <c r="BN34" i="5"/>
  <c r="BL34" i="5"/>
  <c r="BD34" i="5"/>
  <c r="AV34" i="5"/>
  <c r="AN34" i="5"/>
  <c r="AF34" i="5"/>
  <c r="X34" i="5"/>
  <c r="P34" i="5"/>
  <c r="H34" i="5"/>
  <c r="BS33" i="5"/>
  <c r="BR33" i="5"/>
  <c r="BQ33" i="5"/>
  <c r="BP33" i="5"/>
  <c r="BO33" i="5"/>
  <c r="BN33" i="5"/>
  <c r="BT33" i="5" s="1"/>
  <c r="BL33" i="5"/>
  <c r="BD33" i="5"/>
  <c r="AV33" i="5"/>
  <c r="AN33" i="5"/>
  <c r="AF33" i="5"/>
  <c r="X33" i="5"/>
  <c r="P33" i="5"/>
  <c r="H33" i="5"/>
  <c r="BS32" i="5"/>
  <c r="BR32" i="5"/>
  <c r="BQ32" i="5"/>
  <c r="BP32" i="5"/>
  <c r="BO32" i="5"/>
  <c r="BN32" i="5"/>
  <c r="BT32" i="5" s="1"/>
  <c r="BL32" i="5"/>
  <c r="BD32" i="5"/>
  <c r="AV32" i="5"/>
  <c r="AN32" i="5"/>
  <c r="AF32" i="5"/>
  <c r="X32" i="5"/>
  <c r="P32" i="5"/>
  <c r="H32" i="5"/>
  <c r="BS31" i="5"/>
  <c r="BR31" i="5"/>
  <c r="BQ31" i="5"/>
  <c r="BP31" i="5"/>
  <c r="BT31" i="5" s="1"/>
  <c r="BO31" i="5"/>
  <c r="BN31" i="5"/>
  <c r="BL31" i="5"/>
  <c r="BD31" i="5"/>
  <c r="AV31" i="5"/>
  <c r="AN31" i="5"/>
  <c r="AF31" i="5"/>
  <c r="X31" i="5"/>
  <c r="P31" i="5"/>
  <c r="H31" i="5"/>
  <c r="BS30" i="5"/>
  <c r="BT30" i="5" s="1"/>
  <c r="BR30" i="5"/>
  <c r="BQ30" i="5"/>
  <c r="BP30" i="5"/>
  <c r="BO30" i="5"/>
  <c r="BN30" i="5"/>
  <c r="BL30" i="5"/>
  <c r="BD30" i="5"/>
  <c r="AV30" i="5"/>
  <c r="AN30" i="5"/>
  <c r="AF30" i="5"/>
  <c r="X30" i="5"/>
  <c r="P30" i="5"/>
  <c r="P36" i="5" s="1"/>
  <c r="P63" i="5" s="1"/>
  <c r="H30" i="5"/>
  <c r="BS29" i="5"/>
  <c r="BR29" i="5"/>
  <c r="BQ29" i="5"/>
  <c r="BP29" i="5"/>
  <c r="BO29" i="5"/>
  <c r="BN29" i="5"/>
  <c r="BT29" i="5" s="1"/>
  <c r="BL29" i="5"/>
  <c r="BD29" i="5"/>
  <c r="AV29" i="5"/>
  <c r="AN29" i="5"/>
  <c r="AF29" i="5"/>
  <c r="X29" i="5"/>
  <c r="P29" i="5"/>
  <c r="H29" i="5"/>
  <c r="BS28" i="5"/>
  <c r="BR28" i="5"/>
  <c r="BQ28" i="5"/>
  <c r="BP28" i="5"/>
  <c r="BO28" i="5"/>
  <c r="BN28" i="5"/>
  <c r="BL28" i="5"/>
  <c r="BD28" i="5"/>
  <c r="AV28" i="5"/>
  <c r="AN28" i="5"/>
  <c r="AF28" i="5"/>
  <c r="X28" i="5"/>
  <c r="P28" i="5"/>
  <c r="H28" i="5"/>
  <c r="BS27" i="5"/>
  <c r="BR27" i="5"/>
  <c r="BR36" i="5" s="1"/>
  <c r="BR63" i="5" s="1"/>
  <c r="BQ27" i="5"/>
  <c r="BQ36" i="5" s="1"/>
  <c r="BQ63" i="5" s="1"/>
  <c r="BP27" i="5"/>
  <c r="BO27" i="5"/>
  <c r="BN27" i="5"/>
  <c r="BL27" i="5"/>
  <c r="BD27" i="5"/>
  <c r="AV27" i="5"/>
  <c r="AN27" i="5"/>
  <c r="AF27" i="5"/>
  <c r="X27" i="5"/>
  <c r="X36" i="5" s="1"/>
  <c r="X63" i="5" s="1"/>
  <c r="P27" i="5"/>
  <c r="H27" i="5"/>
  <c r="BT26" i="5"/>
  <c r="BT38" i="5" s="1"/>
  <c r="BT67" i="5" s="1"/>
  <c r="BT84" i="5" s="1"/>
  <c r="BT91" i="5" s="1"/>
  <c r="BT118" i="5" s="1"/>
  <c r="BQ26" i="5"/>
  <c r="BI26" i="5"/>
  <c r="BD26" i="5"/>
  <c r="BA26" i="5"/>
  <c r="AV26" i="5"/>
  <c r="AS26" i="5"/>
  <c r="AN26" i="5"/>
  <c r="AK26" i="5"/>
  <c r="AF26" i="5"/>
  <c r="AF38" i="5" s="1"/>
  <c r="AF67" i="5" s="1"/>
  <c r="AF84" i="5" s="1"/>
  <c r="AF91" i="5" s="1"/>
  <c r="AF118" i="5" s="1"/>
  <c r="AF134" i="5" s="1"/>
  <c r="AF143" i="5" s="1"/>
  <c r="AF151" i="5" s="1"/>
  <c r="AF161" i="5" s="1"/>
  <c r="AF173" i="5" s="1"/>
  <c r="AF196" i="5" s="1"/>
  <c r="AC26" i="5"/>
  <c r="X26" i="5"/>
  <c r="U26" i="5"/>
  <c r="P26" i="5"/>
  <c r="P38" i="5" s="1"/>
  <c r="P67" i="5" s="1"/>
  <c r="P84" i="5" s="1"/>
  <c r="P91" i="5" s="1"/>
  <c r="P118" i="5" s="1"/>
  <c r="M26" i="5"/>
  <c r="E26" i="5"/>
  <c r="BS25" i="5"/>
  <c r="BR25" i="5"/>
  <c r="BQ25" i="5"/>
  <c r="BO25" i="5"/>
  <c r="BN25" i="5"/>
  <c r="BD25" i="5"/>
  <c r="AV25" i="5"/>
  <c r="AN25" i="5"/>
  <c r="AF25" i="5"/>
  <c r="X25" i="5"/>
  <c r="P25" i="5"/>
  <c r="BS24" i="5"/>
  <c r="BR24" i="5"/>
  <c r="BQ24" i="5"/>
  <c r="BP24" i="5"/>
  <c r="BO24" i="5"/>
  <c r="BL24" i="5"/>
  <c r="BD24" i="5"/>
  <c r="AV24" i="5"/>
  <c r="AH24" i="5"/>
  <c r="AN24" i="5" s="1"/>
  <c r="AF24" i="5"/>
  <c r="X24" i="5"/>
  <c r="J24" i="5"/>
  <c r="H24" i="5"/>
  <c r="BS23" i="5"/>
  <c r="BR23" i="5"/>
  <c r="BQ23" i="5"/>
  <c r="BP23" i="5"/>
  <c r="BT23" i="5" s="1"/>
  <c r="BO23" i="5"/>
  <c r="BN23" i="5"/>
  <c r="BL23" i="5"/>
  <c r="BD23" i="5"/>
  <c r="AV23" i="5"/>
  <c r="AN23" i="5"/>
  <c r="AF23" i="5"/>
  <c r="X23" i="5"/>
  <c r="P23" i="5"/>
  <c r="H23" i="5"/>
  <c r="BS22" i="5"/>
  <c r="BR22" i="5"/>
  <c r="BQ22" i="5"/>
  <c r="BP22" i="5"/>
  <c r="BO22" i="5"/>
  <c r="BN22" i="5"/>
  <c r="BT22" i="5" s="1"/>
  <c r="BL22" i="5"/>
  <c r="BD22" i="5"/>
  <c r="AV22" i="5"/>
  <c r="AN22" i="5"/>
  <c r="AF22" i="5"/>
  <c r="X22" i="5"/>
  <c r="P22" i="5"/>
  <c r="H22" i="5"/>
  <c r="BS21" i="5"/>
  <c r="BR21" i="5"/>
  <c r="BQ21" i="5"/>
  <c r="BP21" i="5"/>
  <c r="BO21" i="5"/>
  <c r="BN21" i="5"/>
  <c r="BL21" i="5"/>
  <c r="BD21" i="5"/>
  <c r="AV21" i="5"/>
  <c r="AN21" i="5"/>
  <c r="AF21" i="5"/>
  <c r="X21" i="5"/>
  <c r="P21" i="5"/>
  <c r="H21" i="5"/>
  <c r="BT20" i="5"/>
  <c r="BT220" i="5" s="1"/>
  <c r="BL20" i="5"/>
  <c r="BF17" i="5"/>
  <c r="AY17" i="5"/>
  <c r="AX17" i="5"/>
  <c r="AX155" i="5" s="1"/>
  <c r="AQ17" i="5"/>
  <c r="AP17" i="5"/>
  <c r="AP144" i="5" s="1"/>
  <c r="AI17" i="5"/>
  <c r="AA17" i="5"/>
  <c r="Z17" i="5"/>
  <c r="S17" i="5"/>
  <c r="R17" i="5"/>
  <c r="K17" i="5"/>
  <c r="C17" i="5"/>
  <c r="B17" i="5"/>
  <c r="BN16" i="5"/>
  <c r="BB16" i="6" s="1"/>
  <c r="BN15" i="5"/>
  <c r="BN14" i="5"/>
  <c r="BB14" i="6" s="1"/>
  <c r="BN13" i="5"/>
  <c r="BB13" i="6" s="1"/>
  <c r="BN12" i="5"/>
  <c r="BB12" i="6" s="1"/>
  <c r="BN11" i="5"/>
  <c r="BB11" i="6" s="1"/>
  <c r="BN10" i="5"/>
  <c r="AH9" i="5"/>
  <c r="AH3" i="5" s="1"/>
  <c r="J9" i="5"/>
  <c r="BN8" i="5"/>
  <c r="AH8" i="5"/>
  <c r="R8" i="5"/>
  <c r="J8" i="5"/>
  <c r="B8" i="5"/>
  <c r="R7" i="5"/>
  <c r="J7" i="5"/>
  <c r="BN7" i="5" s="1"/>
  <c r="BN6" i="5"/>
  <c r="J6" i="5"/>
  <c r="J5" i="5"/>
  <c r="BN4" i="5"/>
  <c r="R4" i="5"/>
  <c r="J4" i="5"/>
  <c r="BF3" i="5"/>
  <c r="AX3" i="5"/>
  <c r="AP3" i="6" s="1"/>
  <c r="AP3" i="5"/>
  <c r="AJ3" i="6" s="1"/>
  <c r="Z3" i="5"/>
  <c r="R3" i="5"/>
  <c r="J3" i="5"/>
  <c r="B3" i="5"/>
  <c r="J2" i="5"/>
  <c r="R2" i="5" s="1"/>
  <c r="Z2" i="5" s="1"/>
  <c r="AH2" i="5" s="1"/>
  <c r="AP2" i="5" s="1"/>
  <c r="AX2" i="5" s="1"/>
  <c r="BF2" i="5" s="1"/>
  <c r="BN2" i="5" s="1"/>
  <c r="BF183" i="4"/>
  <c r="BF111" i="4"/>
  <c r="BF121" i="4"/>
  <c r="BG110" i="4"/>
  <c r="BH110" i="4"/>
  <c r="BI110" i="4"/>
  <c r="BJ110" i="4"/>
  <c r="BK110" i="4"/>
  <c r="BF110" i="4"/>
  <c r="BH102" i="4"/>
  <c r="BF99" i="4"/>
  <c r="BF98" i="4"/>
  <c r="BF94" i="4"/>
  <c r="AX185" i="4"/>
  <c r="AX184" i="4"/>
  <c r="AX183" i="4"/>
  <c r="AX182" i="4"/>
  <c r="AX179" i="4"/>
  <c r="AX177" i="4"/>
  <c r="AX176" i="4"/>
  <c r="AX175" i="4"/>
  <c r="AX168" i="4"/>
  <c r="AX167" i="4"/>
  <c r="AX166" i="4"/>
  <c r="BD166" i="4" s="1"/>
  <c r="AX165" i="4"/>
  <c r="AX154" i="4"/>
  <c r="AY154" i="4"/>
  <c r="AX152" i="4"/>
  <c r="AX144" i="4"/>
  <c r="AY140" i="4"/>
  <c r="AX138" i="4"/>
  <c r="BD138" i="4" s="1"/>
  <c r="AO138" i="6" s="1"/>
  <c r="AX135" i="4"/>
  <c r="AY127" i="4"/>
  <c r="AZ127" i="4"/>
  <c r="BA127" i="4"/>
  <c r="BB127" i="4"/>
  <c r="BC127" i="4"/>
  <c r="AY126" i="4"/>
  <c r="AZ126" i="4"/>
  <c r="BA126" i="4"/>
  <c r="BB126" i="4"/>
  <c r="BC126" i="4"/>
  <c r="BB123" i="4"/>
  <c r="AX123" i="4"/>
  <c r="AY123" i="4"/>
  <c r="AY122" i="4"/>
  <c r="AX120" i="4"/>
  <c r="AX71" i="4"/>
  <c r="AX69" i="4"/>
  <c r="AT77" i="4"/>
  <c r="AV77" i="4" s="1"/>
  <c r="AP206" i="4"/>
  <c r="AP205" i="4"/>
  <c r="AP203" i="4"/>
  <c r="AP202" i="4"/>
  <c r="AP201" i="4"/>
  <c r="AP200" i="4"/>
  <c r="AP199" i="4"/>
  <c r="AP197" i="4"/>
  <c r="AP184" i="4"/>
  <c r="AP183" i="4"/>
  <c r="AP182" i="4"/>
  <c r="AP177" i="4"/>
  <c r="AP176" i="4"/>
  <c r="AP175" i="4"/>
  <c r="AV175" i="4" s="1"/>
  <c r="AP174" i="4"/>
  <c r="AP168" i="4"/>
  <c r="AP166" i="4"/>
  <c r="AP162" i="4"/>
  <c r="AP154" i="4"/>
  <c r="AQ154" i="4"/>
  <c r="AP152" i="4"/>
  <c r="AQ140" i="4"/>
  <c r="BO140" i="4" s="1"/>
  <c r="AP138" i="4"/>
  <c r="AP135" i="4"/>
  <c r="AR127" i="4"/>
  <c r="AS127" i="4"/>
  <c r="AT127" i="4"/>
  <c r="AU127" i="4"/>
  <c r="AR126" i="4"/>
  <c r="AS126" i="4"/>
  <c r="AT126" i="4"/>
  <c r="AU126" i="4"/>
  <c r="AP123" i="4"/>
  <c r="AQ123" i="4"/>
  <c r="AP120" i="4"/>
  <c r="AP119" i="4"/>
  <c r="AR111" i="4"/>
  <c r="AQ111" i="4"/>
  <c r="AS111" i="4"/>
  <c r="AT111" i="4"/>
  <c r="AU111" i="4"/>
  <c r="AU116" i="4" s="1"/>
  <c r="AQ110" i="4"/>
  <c r="AR110" i="4"/>
  <c r="AS110" i="4"/>
  <c r="AS116" i="4" s="1"/>
  <c r="AT110" i="4"/>
  <c r="AU110" i="4"/>
  <c r="AP110" i="4"/>
  <c r="AQ104" i="4"/>
  <c r="AR102" i="4"/>
  <c r="AP101" i="4"/>
  <c r="AP99" i="4"/>
  <c r="AP98" i="4"/>
  <c r="AP94" i="4"/>
  <c r="AJ181" i="4"/>
  <c r="AJ194" i="4" s="1"/>
  <c r="AJ81" i="4"/>
  <c r="AQ74" i="4"/>
  <c r="AP71" i="4"/>
  <c r="AP70" i="4"/>
  <c r="AP69" i="4"/>
  <c r="AV69" i="4" s="1"/>
  <c r="AH206" i="4"/>
  <c r="AH205" i="4"/>
  <c r="AH207" i="4" s="1"/>
  <c r="AH203" i="4"/>
  <c r="AH202" i="4"/>
  <c r="AH201" i="4"/>
  <c r="AH200" i="4"/>
  <c r="AH199" i="4"/>
  <c r="AH197" i="4"/>
  <c r="AH186" i="4"/>
  <c r="AH184" i="4"/>
  <c r="AN184" i="4" s="1"/>
  <c r="AH183" i="4"/>
  <c r="AH182" i="4"/>
  <c r="AH179" i="4"/>
  <c r="AH178" i="4"/>
  <c r="AH177" i="4"/>
  <c r="AH176" i="4"/>
  <c r="AH175" i="4"/>
  <c r="AH174" i="4"/>
  <c r="AH168" i="4"/>
  <c r="AH167" i="4"/>
  <c r="AH166" i="4"/>
  <c r="AH165" i="4"/>
  <c r="AH164" i="4"/>
  <c r="AH162" i="4"/>
  <c r="AH154" i="4"/>
  <c r="AI154" i="4"/>
  <c r="AI153" i="4"/>
  <c r="AH152" i="4"/>
  <c r="AH148" i="4"/>
  <c r="AH146" i="4"/>
  <c r="AH145" i="4"/>
  <c r="AH144" i="4"/>
  <c r="AI140" i="4"/>
  <c r="AH138" i="4"/>
  <c r="AH135" i="4"/>
  <c r="AH193" i="15"/>
  <c r="AI127" i="15"/>
  <c r="AJ127" i="15"/>
  <c r="AK127" i="15"/>
  <c r="AL127" i="15"/>
  <c r="AM127" i="15"/>
  <c r="AH127" i="15"/>
  <c r="AI127" i="4"/>
  <c r="AJ127" i="4"/>
  <c r="AK127" i="4"/>
  <c r="AL127" i="4"/>
  <c r="AM127" i="4"/>
  <c r="AH127" i="4"/>
  <c r="AI126" i="4"/>
  <c r="AJ126" i="4"/>
  <c r="AK126" i="4"/>
  <c r="AL126" i="4"/>
  <c r="AM126" i="4"/>
  <c r="AH126" i="4"/>
  <c r="AH124" i="4"/>
  <c r="AH123" i="4"/>
  <c r="AI123" i="4"/>
  <c r="AI122" i="4"/>
  <c r="AH121" i="4"/>
  <c r="AH119" i="4"/>
  <c r="AJ111" i="4"/>
  <c r="AI111" i="4"/>
  <c r="AK111" i="4"/>
  <c r="AL111" i="4"/>
  <c r="AM111" i="4"/>
  <c r="AH111" i="4"/>
  <c r="AI110" i="4"/>
  <c r="AJ110" i="4"/>
  <c r="AK110" i="4"/>
  <c r="AL110" i="4"/>
  <c r="AM110" i="4"/>
  <c r="AH108" i="4"/>
  <c r="AH107" i="4"/>
  <c r="AI106" i="4"/>
  <c r="AH103" i="4"/>
  <c r="AJ102" i="4"/>
  <c r="AH101" i="4"/>
  <c r="AH100" i="4"/>
  <c r="AH99" i="4"/>
  <c r="AH98" i="4"/>
  <c r="AH97" i="4"/>
  <c r="AH95" i="4"/>
  <c r="AH94" i="4"/>
  <c r="AH93" i="15"/>
  <c r="AH93" i="4"/>
  <c r="AI74" i="15"/>
  <c r="AI74" i="4"/>
  <c r="AH71" i="4"/>
  <c r="AH70" i="4"/>
  <c r="AH69" i="4"/>
  <c r="Z206" i="4"/>
  <c r="Z205" i="4"/>
  <c r="Z203" i="4"/>
  <c r="Z202" i="4"/>
  <c r="Z201" i="4"/>
  <c r="Z200" i="4"/>
  <c r="Z199" i="4"/>
  <c r="Z197" i="4"/>
  <c r="Z185" i="4"/>
  <c r="Z184" i="4"/>
  <c r="Z183" i="4"/>
  <c r="Z182" i="4"/>
  <c r="AB81" i="4"/>
  <c r="AB181" i="4"/>
  <c r="Z179" i="4"/>
  <c r="Z178" i="4"/>
  <c r="Z177" i="4"/>
  <c r="Z176" i="4"/>
  <c r="Z175" i="4"/>
  <c r="Z174" i="4"/>
  <c r="Z168" i="4"/>
  <c r="Z167" i="4"/>
  <c r="Z166" i="4"/>
  <c r="AF166" i="4" s="1"/>
  <c r="Z165" i="4"/>
  <c r="Z164" i="4"/>
  <c r="Z162" i="4"/>
  <c r="Z154" i="4"/>
  <c r="AA154" i="4"/>
  <c r="AA153" i="4"/>
  <c r="Z152" i="4"/>
  <c r="Z148" i="4"/>
  <c r="Z146" i="4"/>
  <c r="Z145" i="4"/>
  <c r="Z144" i="4"/>
  <c r="AA140" i="4"/>
  <c r="Z138" i="4"/>
  <c r="Z135" i="4"/>
  <c r="AA127" i="4"/>
  <c r="AB127" i="4"/>
  <c r="AC127" i="4"/>
  <c r="AD127" i="4"/>
  <c r="AE127" i="4"/>
  <c r="Z127" i="4"/>
  <c r="AA126" i="4"/>
  <c r="AB126" i="4"/>
  <c r="AC126" i="4"/>
  <c r="AD126" i="4"/>
  <c r="AE126" i="4"/>
  <c r="Z126" i="4"/>
  <c r="Z124" i="4"/>
  <c r="Z123" i="4"/>
  <c r="AA123" i="4"/>
  <c r="AA122" i="4"/>
  <c r="Z121" i="4"/>
  <c r="Z119" i="4"/>
  <c r="AA111" i="4"/>
  <c r="AB111" i="4"/>
  <c r="AC111" i="4"/>
  <c r="AC116" i="4" s="1"/>
  <c r="AD111" i="4"/>
  <c r="AE111" i="4"/>
  <c r="Z111" i="4"/>
  <c r="AB110" i="4"/>
  <c r="AC110" i="4"/>
  <c r="AD110" i="4"/>
  <c r="AE110" i="4"/>
  <c r="AA110" i="4"/>
  <c r="Z110" i="4"/>
  <c r="Z108" i="4"/>
  <c r="Z107" i="4"/>
  <c r="AA106" i="4"/>
  <c r="AA105" i="4"/>
  <c r="AA104" i="4"/>
  <c r="AA103" i="4"/>
  <c r="AB102" i="4"/>
  <c r="Z101" i="4"/>
  <c r="Z99" i="4"/>
  <c r="Z98" i="4"/>
  <c r="Z95" i="4"/>
  <c r="Z94" i="4"/>
  <c r="Z93" i="4"/>
  <c r="R206" i="4"/>
  <c r="X206" i="4" s="1"/>
  <c r="R205" i="4"/>
  <c r="R203" i="4"/>
  <c r="R202" i="4"/>
  <c r="R201" i="4"/>
  <c r="R200" i="4"/>
  <c r="R199" i="4"/>
  <c r="R197" i="4"/>
  <c r="R185" i="4"/>
  <c r="R184" i="4"/>
  <c r="R183" i="4"/>
  <c r="R182" i="4"/>
  <c r="X182" i="4" s="1"/>
  <c r="T81" i="4"/>
  <c r="T181" i="4"/>
  <c r="X181" i="4" s="1"/>
  <c r="R179" i="4"/>
  <c r="R178" i="4"/>
  <c r="R177" i="4"/>
  <c r="R176" i="4"/>
  <c r="R175" i="4"/>
  <c r="R174" i="4"/>
  <c r="R168" i="4"/>
  <c r="R167" i="4"/>
  <c r="R166" i="4"/>
  <c r="R165" i="4"/>
  <c r="R164" i="4"/>
  <c r="R163" i="4"/>
  <c r="R162" i="4"/>
  <c r="R154" i="4"/>
  <c r="S154" i="4"/>
  <c r="S153" i="4"/>
  <c r="R152" i="4"/>
  <c r="R148" i="4"/>
  <c r="R146" i="4"/>
  <c r="R145" i="4"/>
  <c r="R144" i="4"/>
  <c r="S140" i="4"/>
  <c r="R138" i="4"/>
  <c r="R135" i="4"/>
  <c r="S127" i="4"/>
  <c r="T127" i="4"/>
  <c r="U127" i="4"/>
  <c r="V127" i="4"/>
  <c r="W127" i="4"/>
  <c r="R127" i="4"/>
  <c r="S126" i="4"/>
  <c r="T126" i="4"/>
  <c r="U126" i="4"/>
  <c r="V126" i="4"/>
  <c r="W126" i="4"/>
  <c r="R126" i="4"/>
  <c r="R124" i="4"/>
  <c r="R123" i="4"/>
  <c r="S123" i="4"/>
  <c r="S122" i="4"/>
  <c r="R121" i="4"/>
  <c r="R119" i="4"/>
  <c r="T111" i="4"/>
  <c r="S111" i="4"/>
  <c r="U111" i="4"/>
  <c r="V111" i="4"/>
  <c r="W111" i="4"/>
  <c r="S110" i="4"/>
  <c r="T110" i="4"/>
  <c r="U110" i="4"/>
  <c r="V110" i="4"/>
  <c r="W110" i="4"/>
  <c r="W116" i="4" s="1"/>
  <c r="R107" i="4"/>
  <c r="S106" i="4"/>
  <c r="S104" i="4"/>
  <c r="T102" i="4"/>
  <c r="R101" i="4"/>
  <c r="R100" i="4"/>
  <c r="R99" i="4"/>
  <c r="R98" i="4"/>
  <c r="X98" i="4" s="1"/>
  <c r="R95" i="4"/>
  <c r="R94" i="4"/>
  <c r="R93" i="4"/>
  <c r="S74" i="4"/>
  <c r="R71" i="4"/>
  <c r="R70" i="4"/>
  <c r="R69" i="4"/>
  <c r="J206" i="4"/>
  <c r="J205" i="4"/>
  <c r="J203" i="4"/>
  <c r="J202" i="4"/>
  <c r="P202" i="4" s="1"/>
  <c r="J201" i="4"/>
  <c r="J200" i="4"/>
  <c r="J199" i="4"/>
  <c r="J197" i="4"/>
  <c r="J186" i="4"/>
  <c r="J185" i="4"/>
  <c r="P185" i="4" s="1"/>
  <c r="J184" i="4"/>
  <c r="J183" i="4"/>
  <c r="J182" i="4"/>
  <c r="J179" i="4"/>
  <c r="J178" i="4"/>
  <c r="J177" i="4"/>
  <c r="J176" i="4"/>
  <c r="J175" i="4"/>
  <c r="J174" i="4"/>
  <c r="P174" i="4" s="1"/>
  <c r="J168" i="4"/>
  <c r="J167" i="4"/>
  <c r="P167" i="4" s="1"/>
  <c r="J166" i="4"/>
  <c r="J165" i="4"/>
  <c r="J164" i="4"/>
  <c r="J162" i="4"/>
  <c r="J154" i="4"/>
  <c r="K154" i="4"/>
  <c r="K153" i="4"/>
  <c r="J152" i="4"/>
  <c r="J148" i="4"/>
  <c r="J146" i="4"/>
  <c r="J145" i="4"/>
  <c r="J144" i="4"/>
  <c r="K140" i="4"/>
  <c r="J138" i="4"/>
  <c r="J135" i="4"/>
  <c r="K127" i="4"/>
  <c r="L127" i="4"/>
  <c r="M127" i="4"/>
  <c r="N127" i="4"/>
  <c r="O127" i="4"/>
  <c r="J127" i="4"/>
  <c r="K126" i="4"/>
  <c r="L126" i="4"/>
  <c r="M126" i="4"/>
  <c r="N126" i="4"/>
  <c r="O126" i="4"/>
  <c r="J126" i="4"/>
  <c r="J124" i="4"/>
  <c r="P124" i="4" s="1"/>
  <c r="J123" i="4"/>
  <c r="K123" i="4"/>
  <c r="K122" i="4"/>
  <c r="J121" i="4"/>
  <c r="J120" i="4"/>
  <c r="J119" i="4"/>
  <c r="L111" i="4"/>
  <c r="K111" i="4"/>
  <c r="M111" i="4"/>
  <c r="N111" i="4"/>
  <c r="O111" i="4"/>
  <c r="K110" i="4"/>
  <c r="L110" i="4"/>
  <c r="M110" i="4"/>
  <c r="N110" i="4"/>
  <c r="O110" i="4"/>
  <c r="J108" i="4"/>
  <c r="J107" i="4"/>
  <c r="K106" i="4"/>
  <c r="K105" i="4"/>
  <c r="K104" i="4"/>
  <c r="L102" i="4"/>
  <c r="J101" i="4"/>
  <c r="J100" i="4"/>
  <c r="J99" i="4"/>
  <c r="J98" i="4"/>
  <c r="J97" i="4"/>
  <c r="J96" i="4"/>
  <c r="J95" i="4"/>
  <c r="J94" i="4"/>
  <c r="J93" i="4"/>
  <c r="D81" i="4"/>
  <c r="D80" i="4"/>
  <c r="D181" i="4"/>
  <c r="D194" i="4" s="1"/>
  <c r="D180" i="4"/>
  <c r="L181" i="4"/>
  <c r="L180" i="4"/>
  <c r="L194" i="4" s="1"/>
  <c r="L81" i="4"/>
  <c r="L80" i="4"/>
  <c r="AR80" i="15"/>
  <c r="AR180" i="15"/>
  <c r="AR181" i="15"/>
  <c r="AJ181" i="15"/>
  <c r="AJ81" i="15"/>
  <c r="AB81" i="15"/>
  <c r="AB181" i="15"/>
  <c r="T181" i="15"/>
  <c r="T81" i="15"/>
  <c r="L81" i="15"/>
  <c r="L80" i="15"/>
  <c r="L180" i="15"/>
  <c r="L181" i="15"/>
  <c r="D181" i="15"/>
  <c r="D180" i="15"/>
  <c r="D81" i="15"/>
  <c r="D80" i="15"/>
  <c r="C74" i="4"/>
  <c r="K74" i="4"/>
  <c r="J71" i="4"/>
  <c r="J70" i="4"/>
  <c r="J69" i="4"/>
  <c r="B206" i="4"/>
  <c r="B205" i="4"/>
  <c r="B203" i="4"/>
  <c r="B202" i="4"/>
  <c r="H202" i="4" s="1"/>
  <c r="B201" i="4"/>
  <c r="B200" i="4"/>
  <c r="B199" i="4"/>
  <c r="B198" i="4"/>
  <c r="B197" i="4"/>
  <c r="H197" i="4" s="1"/>
  <c r="B185" i="4"/>
  <c r="B184" i="4"/>
  <c r="B183" i="4"/>
  <c r="B182" i="4"/>
  <c r="B179" i="4"/>
  <c r="B178" i="4"/>
  <c r="B177" i="4"/>
  <c r="B176" i="4"/>
  <c r="H176" i="4" s="1"/>
  <c r="B175" i="4"/>
  <c r="B174" i="4"/>
  <c r="B168" i="4"/>
  <c r="B167" i="4"/>
  <c r="BN167" i="4" s="1"/>
  <c r="B166" i="4"/>
  <c r="H166" i="4" s="1"/>
  <c r="B165" i="4"/>
  <c r="B164" i="4"/>
  <c r="B162" i="4"/>
  <c r="H162" i="4" s="1"/>
  <c r="B154" i="4"/>
  <c r="C154" i="4"/>
  <c r="C153" i="4"/>
  <c r="B152" i="4"/>
  <c r="B148" i="4"/>
  <c r="B146" i="4"/>
  <c r="B145" i="4"/>
  <c r="B144" i="4"/>
  <c r="C140" i="4"/>
  <c r="B138" i="4"/>
  <c r="B135" i="4"/>
  <c r="H135" i="4" s="1"/>
  <c r="C127" i="4"/>
  <c r="D127" i="4"/>
  <c r="E127" i="4"/>
  <c r="F127" i="4"/>
  <c r="G127" i="4"/>
  <c r="B127" i="4"/>
  <c r="C126" i="4"/>
  <c r="D126" i="4"/>
  <c r="E126" i="4"/>
  <c r="F126" i="4"/>
  <c r="G126" i="4"/>
  <c r="B126" i="4"/>
  <c r="B124" i="4"/>
  <c r="B123" i="4"/>
  <c r="C123" i="4"/>
  <c r="C122" i="4"/>
  <c r="B121" i="4"/>
  <c r="B119" i="4"/>
  <c r="D111" i="4"/>
  <c r="C111" i="4"/>
  <c r="E111" i="4"/>
  <c r="F111" i="4"/>
  <c r="G111" i="4"/>
  <c r="C110" i="4"/>
  <c r="D110" i="4"/>
  <c r="E110" i="4"/>
  <c r="F110" i="4"/>
  <c r="G110" i="4"/>
  <c r="B110" i="4"/>
  <c r="B108" i="4"/>
  <c r="C104" i="4"/>
  <c r="D102" i="4"/>
  <c r="B101" i="4"/>
  <c r="B109" i="4" s="1"/>
  <c r="B99" i="4"/>
  <c r="B98" i="4"/>
  <c r="C94" i="4"/>
  <c r="B94" i="4"/>
  <c r="B93" i="4"/>
  <c r="B71" i="4"/>
  <c r="B70" i="4"/>
  <c r="B69" i="4"/>
  <c r="M246" i="4"/>
  <c r="BS220" i="4"/>
  <c r="BR220" i="4"/>
  <c r="BQ220" i="4"/>
  <c r="BP220" i="4"/>
  <c r="BO220" i="4"/>
  <c r="BN220" i="4"/>
  <c r="BL220" i="4"/>
  <c r="BK220" i="4"/>
  <c r="BJ220" i="4"/>
  <c r="BI220" i="4"/>
  <c r="BH220" i="4"/>
  <c r="BG220" i="4"/>
  <c r="BF220" i="4"/>
  <c r="BD220" i="4"/>
  <c r="BC220" i="4"/>
  <c r="BB220" i="4"/>
  <c r="BA220" i="4"/>
  <c r="AZ220" i="4"/>
  <c r="AY220" i="4"/>
  <c r="AX220" i="4"/>
  <c r="AV220" i="4"/>
  <c r="AU220" i="4"/>
  <c r="AT220" i="4"/>
  <c r="AS220" i="4"/>
  <c r="AR220" i="4"/>
  <c r="AQ220" i="4"/>
  <c r="AP220" i="4"/>
  <c r="AN220" i="4"/>
  <c r="AM220" i="4"/>
  <c r="AL220" i="4"/>
  <c r="AK220" i="4"/>
  <c r="AJ220" i="4"/>
  <c r="AI220" i="4"/>
  <c r="AH220" i="4"/>
  <c r="AF220" i="4"/>
  <c r="AE220" i="4"/>
  <c r="AD220" i="4"/>
  <c r="AC220" i="4"/>
  <c r="AB220" i="4"/>
  <c r="AA220" i="4"/>
  <c r="Z220" i="4"/>
  <c r="X220" i="4"/>
  <c r="W220" i="4"/>
  <c r="V220" i="4"/>
  <c r="U220" i="4"/>
  <c r="T220" i="4"/>
  <c r="S220" i="4"/>
  <c r="R220" i="4"/>
  <c r="P220" i="4"/>
  <c r="O220" i="4"/>
  <c r="N220" i="4"/>
  <c r="M220" i="4"/>
  <c r="L220" i="4"/>
  <c r="K220" i="4"/>
  <c r="J220" i="4"/>
  <c r="H220" i="4"/>
  <c r="G220" i="4"/>
  <c r="F220" i="4"/>
  <c r="E220" i="4"/>
  <c r="D220" i="4"/>
  <c r="C220" i="4"/>
  <c r="B220" i="4"/>
  <c r="A220" i="4"/>
  <c r="BQ216" i="4"/>
  <c r="BP216" i="4"/>
  <c r="BO216" i="4"/>
  <c r="BK216" i="4"/>
  <c r="BJ216" i="4"/>
  <c r="BI216" i="4"/>
  <c r="BH216" i="4"/>
  <c r="BG216" i="4"/>
  <c r="BF216" i="4"/>
  <c r="BC216" i="4"/>
  <c r="BB216" i="4"/>
  <c r="BA216" i="4"/>
  <c r="AZ216" i="4"/>
  <c r="AY216" i="4"/>
  <c r="AX216" i="4"/>
  <c r="AU216" i="4"/>
  <c r="AT216" i="4"/>
  <c r="AS216" i="4"/>
  <c r="AR216" i="4"/>
  <c r="AQ216" i="4"/>
  <c r="AM216" i="4"/>
  <c r="AL216" i="4"/>
  <c r="AK216" i="4"/>
  <c r="AJ216" i="4"/>
  <c r="AI216" i="4"/>
  <c r="AH216" i="4"/>
  <c r="AE216" i="4"/>
  <c r="AD216" i="4"/>
  <c r="AC216" i="4"/>
  <c r="AB216" i="4"/>
  <c r="AA216" i="4"/>
  <c r="Z216" i="4"/>
  <c r="W216" i="4"/>
  <c r="V216" i="4"/>
  <c r="U216" i="4"/>
  <c r="T216" i="4"/>
  <c r="S216" i="4"/>
  <c r="R216" i="4"/>
  <c r="O216" i="4"/>
  <c r="N216" i="4"/>
  <c r="M216" i="4"/>
  <c r="L216" i="4"/>
  <c r="K216" i="4"/>
  <c r="J216" i="4"/>
  <c r="G216" i="4"/>
  <c r="F216" i="4"/>
  <c r="E216" i="4"/>
  <c r="D216" i="4"/>
  <c r="C216" i="4"/>
  <c r="B216" i="4"/>
  <c r="BS215" i="4"/>
  <c r="BR215" i="4"/>
  <c r="BQ215" i="4"/>
  <c r="BP215" i="4"/>
  <c r="BO215" i="4"/>
  <c r="BN215" i="4"/>
  <c r="BT215" i="4" s="1"/>
  <c r="BL215" i="4"/>
  <c r="BD215" i="4"/>
  <c r="AV215" i="4"/>
  <c r="AN215" i="4"/>
  <c r="AF215" i="4"/>
  <c r="X215" i="4"/>
  <c r="P215" i="4"/>
  <c r="H215" i="4"/>
  <c r="BS214" i="4"/>
  <c r="BR214" i="4"/>
  <c r="BQ214" i="4"/>
  <c r="BP214" i="4"/>
  <c r="BO214" i="4"/>
  <c r="BL214" i="4"/>
  <c r="BD214" i="4"/>
  <c r="AN214" i="4"/>
  <c r="AF214" i="4"/>
  <c r="W214" i="6" s="1"/>
  <c r="X214" i="4"/>
  <c r="Q214" i="6" s="1"/>
  <c r="P214" i="4"/>
  <c r="H214" i="4"/>
  <c r="E214" i="6" s="1"/>
  <c r="BS213" i="4"/>
  <c r="BS216" i="4" s="1"/>
  <c r="BR213" i="4"/>
  <c r="BQ213" i="4"/>
  <c r="BP213" i="4"/>
  <c r="BO213" i="4"/>
  <c r="BN213" i="4"/>
  <c r="BL213" i="4"/>
  <c r="BD213" i="4"/>
  <c r="AV213" i="4"/>
  <c r="AN213" i="4"/>
  <c r="AF213" i="4"/>
  <c r="W213" i="6" s="1"/>
  <c r="X213" i="4"/>
  <c r="Q213" i="6" s="1"/>
  <c r="P213" i="4"/>
  <c r="H213" i="4"/>
  <c r="E213" i="6" s="1"/>
  <c r="BS212" i="4"/>
  <c r="BR212" i="4"/>
  <c r="BQ212" i="4"/>
  <c r="BP212" i="4"/>
  <c r="BO212" i="4"/>
  <c r="BN212" i="4"/>
  <c r="BL212" i="4"/>
  <c r="BD212" i="4"/>
  <c r="BD216" i="4" s="1"/>
  <c r="AV212" i="4"/>
  <c r="AN212" i="4"/>
  <c r="AN216" i="4" s="1"/>
  <c r="AF212" i="4"/>
  <c r="AF216" i="4" s="1"/>
  <c r="W216" i="6" s="1"/>
  <c r="X212" i="4"/>
  <c r="P212" i="4"/>
  <c r="H212" i="4"/>
  <c r="BR207" i="4"/>
  <c r="BQ207" i="4"/>
  <c r="BL207" i="4"/>
  <c r="BK207" i="4"/>
  <c r="BJ207" i="4"/>
  <c r="BI207" i="4"/>
  <c r="BH207" i="4"/>
  <c r="BG207" i="4"/>
  <c r="BF207" i="4"/>
  <c r="BC207" i="4"/>
  <c r="BB207" i="4"/>
  <c r="BA207" i="4"/>
  <c r="AZ207" i="4"/>
  <c r="AY207" i="4"/>
  <c r="AX207" i="4"/>
  <c r="AU207" i="4"/>
  <c r="AT207" i="4"/>
  <c r="AS207" i="4"/>
  <c r="AR207" i="4"/>
  <c r="AQ207" i="4"/>
  <c r="AM207" i="4"/>
  <c r="AL207" i="4"/>
  <c r="AK207" i="4"/>
  <c r="AJ207" i="4"/>
  <c r="AI207" i="4"/>
  <c r="AE207" i="4"/>
  <c r="AD207" i="4"/>
  <c r="AC207" i="4"/>
  <c r="AB207" i="4"/>
  <c r="AA207" i="4"/>
  <c r="W207" i="4"/>
  <c r="V207" i="4"/>
  <c r="U207" i="4"/>
  <c r="T207" i="4"/>
  <c r="S207" i="4"/>
  <c r="O207" i="4"/>
  <c r="N207" i="4"/>
  <c r="M207" i="4"/>
  <c r="L207" i="4"/>
  <c r="K207" i="4"/>
  <c r="G207" i="4"/>
  <c r="F207" i="4"/>
  <c r="E207" i="4"/>
  <c r="D207" i="4"/>
  <c r="C207" i="4"/>
  <c r="BS206" i="4"/>
  <c r="BR206" i="4"/>
  <c r="BQ206" i="4"/>
  <c r="BP206" i="4"/>
  <c r="BO206" i="4"/>
  <c r="BL206" i="4"/>
  <c r="BD206" i="4"/>
  <c r="AV206" i="4"/>
  <c r="AN206" i="4"/>
  <c r="AF206" i="4"/>
  <c r="P206" i="4"/>
  <c r="H206" i="4"/>
  <c r="BS205" i="4"/>
  <c r="BR205" i="4"/>
  <c r="BQ205" i="4"/>
  <c r="BP205" i="4"/>
  <c r="BO205" i="4"/>
  <c r="BL205" i="4"/>
  <c r="BD205" i="4"/>
  <c r="AV205" i="4"/>
  <c r="AN205" i="4"/>
  <c r="AF205" i="4"/>
  <c r="X205" i="4"/>
  <c r="J207" i="4"/>
  <c r="BS204" i="4"/>
  <c r="BR204" i="4"/>
  <c r="BQ204" i="4"/>
  <c r="BP204" i="4"/>
  <c r="BO204" i="4"/>
  <c r="BN204" i="4"/>
  <c r="BT204" i="4" s="1"/>
  <c r="BL204" i="4"/>
  <c r="BD204" i="4"/>
  <c r="AV204" i="4"/>
  <c r="AN204" i="4"/>
  <c r="AF204" i="4"/>
  <c r="X204" i="4"/>
  <c r="P204" i="4"/>
  <c r="H204" i="4"/>
  <c r="BS203" i="4"/>
  <c r="BR203" i="4"/>
  <c r="BQ203" i="4"/>
  <c r="BP203" i="4"/>
  <c r="BO203" i="4"/>
  <c r="BN203" i="4"/>
  <c r="BT203" i="4" s="1"/>
  <c r="BL203" i="4"/>
  <c r="BD203" i="4"/>
  <c r="AV203" i="4"/>
  <c r="AN203" i="4"/>
  <c r="AF203" i="4"/>
  <c r="X203" i="4"/>
  <c r="P203" i="4"/>
  <c r="H203" i="4"/>
  <c r="BS202" i="4"/>
  <c r="BR202" i="4"/>
  <c r="BQ202" i="4"/>
  <c r="BP202" i="4"/>
  <c r="BO202" i="4"/>
  <c r="BL202" i="4"/>
  <c r="BD202" i="4"/>
  <c r="AN202" i="4"/>
  <c r="AF202" i="4"/>
  <c r="X202" i="4"/>
  <c r="BS201" i="4"/>
  <c r="BR201" i="4"/>
  <c r="BQ201" i="4"/>
  <c r="BP201" i="4"/>
  <c r="BO201" i="4"/>
  <c r="BL201" i="4"/>
  <c r="BD201" i="4"/>
  <c r="AV201" i="4"/>
  <c r="AN201" i="4"/>
  <c r="AF201" i="4"/>
  <c r="X201" i="4"/>
  <c r="P201" i="4"/>
  <c r="BS200" i="4"/>
  <c r="BR200" i="4"/>
  <c r="BQ200" i="4"/>
  <c r="BP200" i="4"/>
  <c r="BO200" i="4"/>
  <c r="BL200" i="4"/>
  <c r="BD200" i="4"/>
  <c r="AV200" i="4"/>
  <c r="AN200" i="4"/>
  <c r="AF200" i="4"/>
  <c r="P200" i="4"/>
  <c r="H200" i="4"/>
  <c r="BS199" i="4"/>
  <c r="BR199" i="4"/>
  <c r="BQ199" i="4"/>
  <c r="BP199" i="4"/>
  <c r="BO199" i="4"/>
  <c r="BL199" i="4"/>
  <c r="BD199" i="4"/>
  <c r="AV199" i="4"/>
  <c r="AN199" i="4"/>
  <c r="X199" i="4"/>
  <c r="P199" i="4"/>
  <c r="H199" i="4"/>
  <c r="BS198" i="4"/>
  <c r="BR198" i="4"/>
  <c r="BQ198" i="4"/>
  <c r="BP198" i="4"/>
  <c r="BO198" i="4"/>
  <c r="BN198" i="4"/>
  <c r="BL198" i="4"/>
  <c r="BD198" i="4"/>
  <c r="AV198" i="4"/>
  <c r="AN198" i="4"/>
  <c r="AF198" i="4"/>
  <c r="X198" i="4"/>
  <c r="P198" i="4"/>
  <c r="H198" i="4"/>
  <c r="BS197" i="4"/>
  <c r="BR197" i="4"/>
  <c r="BQ197" i="4"/>
  <c r="BP197" i="4"/>
  <c r="BO197" i="4"/>
  <c r="BL197" i="4"/>
  <c r="BD197" i="4"/>
  <c r="AV197" i="4"/>
  <c r="AN197" i="4"/>
  <c r="AF197" i="4"/>
  <c r="X197" i="4"/>
  <c r="P197" i="4"/>
  <c r="H196" i="4"/>
  <c r="BK194" i="4"/>
  <c r="BI194" i="4"/>
  <c r="BH194" i="4"/>
  <c r="BG194" i="4"/>
  <c r="BF194" i="4"/>
  <c r="BB194" i="4"/>
  <c r="BA194" i="4"/>
  <c r="AZ194" i="4"/>
  <c r="AY194" i="4"/>
  <c r="AT194" i="4"/>
  <c r="AS194" i="4"/>
  <c r="AQ194" i="4"/>
  <c r="AM194" i="4"/>
  <c r="AL194" i="4"/>
  <c r="AK194" i="4"/>
  <c r="AI194" i="4"/>
  <c r="AE194" i="4"/>
  <c r="AD194" i="4"/>
  <c r="AC194" i="4"/>
  <c r="AB194" i="4"/>
  <c r="AA194" i="4"/>
  <c r="V194" i="4"/>
  <c r="U194" i="4"/>
  <c r="T194" i="4"/>
  <c r="S194" i="4"/>
  <c r="O194" i="4"/>
  <c r="N194" i="4"/>
  <c r="M194" i="4"/>
  <c r="K194" i="4"/>
  <c r="F194" i="4"/>
  <c r="E194" i="4"/>
  <c r="C194" i="4"/>
  <c r="BS193" i="4"/>
  <c r="BR193" i="4"/>
  <c r="BQ193" i="4"/>
  <c r="BP193" i="4"/>
  <c r="BO193" i="4"/>
  <c r="BL193" i="4"/>
  <c r="BS192" i="4"/>
  <c r="BR192" i="4"/>
  <c r="BQ192" i="4"/>
  <c r="BP192" i="4"/>
  <c r="BO192" i="4"/>
  <c r="BN192" i="4"/>
  <c r="BJ192" i="4"/>
  <c r="BD192" i="4"/>
  <c r="AV192" i="4"/>
  <c r="AN192" i="4"/>
  <c r="AF192" i="4"/>
  <c r="X192" i="4"/>
  <c r="P192" i="4"/>
  <c r="H192" i="4"/>
  <c r="BR191" i="4"/>
  <c r="BQ191" i="4"/>
  <c r="BP191" i="4"/>
  <c r="BO191" i="4"/>
  <c r="BN191" i="4"/>
  <c r="BL191" i="4"/>
  <c r="BD191" i="4"/>
  <c r="BC191" i="4"/>
  <c r="BC194" i="4" s="1"/>
  <c r="AU191" i="4"/>
  <c r="AU194" i="4" s="1"/>
  <c r="AN191" i="4"/>
  <c r="AM191" i="4"/>
  <c r="AF191" i="4"/>
  <c r="AE191" i="4"/>
  <c r="W191" i="4"/>
  <c r="W194" i="4" s="1"/>
  <c r="P191" i="4"/>
  <c r="O191" i="4"/>
  <c r="H191" i="4"/>
  <c r="G191" i="4"/>
  <c r="BS190" i="4"/>
  <c r="BR190" i="4"/>
  <c r="BT190" i="4" s="1"/>
  <c r="BQ190" i="4"/>
  <c r="BP190" i="4"/>
  <c r="BO190" i="4"/>
  <c r="BN190" i="4"/>
  <c r="BL190" i="4"/>
  <c r="BD190" i="4"/>
  <c r="AV190" i="4"/>
  <c r="AN190" i="4"/>
  <c r="AF190" i="4"/>
  <c r="X190" i="4"/>
  <c r="P190" i="4"/>
  <c r="H190" i="4"/>
  <c r="BS189" i="4"/>
  <c r="BR189" i="4"/>
  <c r="BQ189" i="4"/>
  <c r="BP189" i="4"/>
  <c r="BO189" i="4"/>
  <c r="BN189" i="4"/>
  <c r="BT189" i="4" s="1"/>
  <c r="BL189" i="4"/>
  <c r="BD189" i="4"/>
  <c r="AV189" i="4"/>
  <c r="AN189" i="4"/>
  <c r="AF189" i="4"/>
  <c r="X189" i="4"/>
  <c r="P189" i="4"/>
  <c r="H189" i="4"/>
  <c r="BS188" i="4"/>
  <c r="BR188" i="4"/>
  <c r="BQ188" i="4"/>
  <c r="BP188" i="4"/>
  <c r="BO188" i="4"/>
  <c r="BN188" i="4"/>
  <c r="BL188" i="4"/>
  <c r="BD188" i="4"/>
  <c r="AV188" i="4"/>
  <c r="AN188" i="4"/>
  <c r="AF188" i="4"/>
  <c r="X188" i="4"/>
  <c r="P188" i="4"/>
  <c r="H188" i="4"/>
  <c r="BS187" i="4"/>
  <c r="BR187" i="4"/>
  <c r="BQ187" i="4"/>
  <c r="BP187" i="4"/>
  <c r="BO187" i="4"/>
  <c r="BL187" i="4"/>
  <c r="BD187" i="4"/>
  <c r="AV187" i="4"/>
  <c r="AI187" i="6" s="1"/>
  <c r="BN187" i="4"/>
  <c r="AN187" i="4"/>
  <c r="AF187" i="4"/>
  <c r="X187" i="4"/>
  <c r="P187" i="4"/>
  <c r="H187" i="4"/>
  <c r="BS186" i="4"/>
  <c r="BR186" i="4"/>
  <c r="BQ186" i="4"/>
  <c r="BP186" i="4"/>
  <c r="BO186" i="4"/>
  <c r="BN186" i="4"/>
  <c r="BT186" i="4" s="1"/>
  <c r="BL186" i="4"/>
  <c r="BD186" i="4"/>
  <c r="AV186" i="4"/>
  <c r="AN186" i="4"/>
  <c r="AF186" i="4"/>
  <c r="X186" i="4"/>
  <c r="P186" i="4"/>
  <c r="H186" i="4"/>
  <c r="BS185" i="4"/>
  <c r="BR185" i="4"/>
  <c r="BQ185" i="4"/>
  <c r="BP185" i="4"/>
  <c r="BO185" i="4"/>
  <c r="BL185" i="4"/>
  <c r="AU185" i="6" s="1"/>
  <c r="BD185" i="4"/>
  <c r="AN185" i="4"/>
  <c r="AC185" i="6" s="1"/>
  <c r="AF185" i="4"/>
  <c r="X185" i="4"/>
  <c r="H185" i="4"/>
  <c r="BS184" i="4"/>
  <c r="BR184" i="4"/>
  <c r="BQ184" i="4"/>
  <c r="BP184" i="4"/>
  <c r="BO184" i="4"/>
  <c r="BN184" i="4"/>
  <c r="BT184" i="4" s="1"/>
  <c r="BL184" i="4"/>
  <c r="BD184" i="4"/>
  <c r="AV184" i="4"/>
  <c r="AF184" i="4"/>
  <c r="X184" i="4"/>
  <c r="P184" i="4"/>
  <c r="H184" i="4"/>
  <c r="BS183" i="4"/>
  <c r="BR183" i="4"/>
  <c r="BQ183" i="4"/>
  <c r="BP183" i="4"/>
  <c r="BO183" i="4"/>
  <c r="BL183" i="4"/>
  <c r="BD183" i="4"/>
  <c r="AV183" i="4"/>
  <c r="AN183" i="4"/>
  <c r="AF183" i="4"/>
  <c r="X183" i="4"/>
  <c r="P183" i="4"/>
  <c r="BS182" i="4"/>
  <c r="BR182" i="4"/>
  <c r="BQ182" i="4"/>
  <c r="BP182" i="4"/>
  <c r="BO182" i="4"/>
  <c r="BL182" i="4"/>
  <c r="BD182" i="4"/>
  <c r="AV182" i="4"/>
  <c r="AN182" i="4"/>
  <c r="AF182" i="4"/>
  <c r="P182" i="4"/>
  <c r="H182" i="4"/>
  <c r="BS181" i="4"/>
  <c r="BR181" i="4"/>
  <c r="BQ181" i="4"/>
  <c r="BO181" i="4"/>
  <c r="BN181" i="4"/>
  <c r="BL181" i="4"/>
  <c r="BD181" i="4"/>
  <c r="AR181" i="4"/>
  <c r="AV181" i="4" s="1"/>
  <c r="AF181" i="4"/>
  <c r="P181" i="4"/>
  <c r="BS180" i="4"/>
  <c r="BR180" i="4"/>
  <c r="BQ180" i="4"/>
  <c r="BO180" i="4"/>
  <c r="BN180" i="4"/>
  <c r="BL180" i="4"/>
  <c r="BD180" i="4"/>
  <c r="AR180" i="4"/>
  <c r="AN180" i="4"/>
  <c r="AF180" i="4"/>
  <c r="X180" i="4"/>
  <c r="P180" i="4"/>
  <c r="BS179" i="4"/>
  <c r="BR179" i="4"/>
  <c r="BQ179" i="4"/>
  <c r="BP179" i="4"/>
  <c r="BO179" i="4"/>
  <c r="BL179" i="4"/>
  <c r="BD179" i="4"/>
  <c r="AV179" i="4"/>
  <c r="AN179" i="4"/>
  <c r="AF179" i="4"/>
  <c r="X179" i="4"/>
  <c r="P179" i="4"/>
  <c r="H179" i="4"/>
  <c r="BS178" i="4"/>
  <c r="BR178" i="4"/>
  <c r="BQ178" i="4"/>
  <c r="BP178" i="4"/>
  <c r="BO178" i="4"/>
  <c r="BL178" i="4"/>
  <c r="BS177" i="4"/>
  <c r="BR177" i="4"/>
  <c r="BQ177" i="4"/>
  <c r="BP177" i="4"/>
  <c r="BO177" i="4"/>
  <c r="BL177" i="4"/>
  <c r="BD177" i="4"/>
  <c r="AV177" i="4"/>
  <c r="AF177" i="4"/>
  <c r="X177" i="4"/>
  <c r="P177" i="4"/>
  <c r="BS176" i="4"/>
  <c r="BR176" i="4"/>
  <c r="BQ176" i="4"/>
  <c r="BP176" i="4"/>
  <c r="BO176" i="4"/>
  <c r="BN176" i="4"/>
  <c r="BT176" i="4" s="1"/>
  <c r="BL176" i="4"/>
  <c r="BD176" i="4"/>
  <c r="AV176" i="4"/>
  <c r="AN176" i="4"/>
  <c r="AF176" i="4"/>
  <c r="X176" i="4"/>
  <c r="P176" i="4"/>
  <c r="BS175" i="4"/>
  <c r="BR175" i="4"/>
  <c r="BQ175" i="4"/>
  <c r="BP175" i="4"/>
  <c r="BO175" i="4"/>
  <c r="BL175" i="4"/>
  <c r="AN175" i="4"/>
  <c r="AF175" i="4"/>
  <c r="X175" i="4"/>
  <c r="P175" i="4"/>
  <c r="BS174" i="4"/>
  <c r="BR174" i="4"/>
  <c r="BQ174" i="4"/>
  <c r="BP174" i="4"/>
  <c r="BO174" i="4"/>
  <c r="BL174" i="4"/>
  <c r="BD174" i="4"/>
  <c r="AV174" i="4"/>
  <c r="AN174" i="4"/>
  <c r="AF174" i="4"/>
  <c r="H174" i="4"/>
  <c r="BR171" i="4"/>
  <c r="BK171" i="4"/>
  <c r="BJ171" i="4"/>
  <c r="BI171" i="4"/>
  <c r="BH171" i="4"/>
  <c r="BG171" i="4"/>
  <c r="BF171" i="4"/>
  <c r="BC171" i="4"/>
  <c r="BB171" i="4"/>
  <c r="BA171" i="4"/>
  <c r="AZ171" i="4"/>
  <c r="AY171" i="4"/>
  <c r="AU171" i="4"/>
  <c r="AT171" i="4"/>
  <c r="AS171" i="4"/>
  <c r="AR171" i="4"/>
  <c r="AQ171" i="4"/>
  <c r="AM171" i="4"/>
  <c r="AL171" i="4"/>
  <c r="AK171" i="4"/>
  <c r="AJ171" i="4"/>
  <c r="AI171" i="4"/>
  <c r="AE171" i="4"/>
  <c r="AD171" i="4"/>
  <c r="AC171" i="4"/>
  <c r="AB171" i="4"/>
  <c r="AA171" i="4"/>
  <c r="W171" i="4"/>
  <c r="V171" i="4"/>
  <c r="U171" i="4"/>
  <c r="T171" i="4"/>
  <c r="S171" i="4"/>
  <c r="O171" i="4"/>
  <c r="N171" i="4"/>
  <c r="M171" i="4"/>
  <c r="L171" i="4"/>
  <c r="K171" i="4"/>
  <c r="G171" i="4"/>
  <c r="F171" i="4"/>
  <c r="E171" i="4"/>
  <c r="D171" i="4"/>
  <c r="C171" i="4"/>
  <c r="BS170" i="4"/>
  <c r="BR170" i="4"/>
  <c r="BQ170" i="4"/>
  <c r="BP170" i="4"/>
  <c r="BO170" i="4"/>
  <c r="BL170" i="4"/>
  <c r="BS169" i="4"/>
  <c r="BR169" i="4"/>
  <c r="BQ169" i="4"/>
  <c r="BP169" i="4"/>
  <c r="BO169" i="4"/>
  <c r="BN169" i="4"/>
  <c r="BL169" i="4"/>
  <c r="BD169" i="4"/>
  <c r="AV169" i="4"/>
  <c r="AN169" i="4"/>
  <c r="AF169" i="4"/>
  <c r="X169" i="4"/>
  <c r="P169" i="4"/>
  <c r="H169" i="4"/>
  <c r="BS168" i="4"/>
  <c r="BR168" i="4"/>
  <c r="BQ168" i="4"/>
  <c r="BP168" i="4"/>
  <c r="BO168" i="4"/>
  <c r="BL168" i="4"/>
  <c r="BD168" i="4"/>
  <c r="AO168" i="6" s="1"/>
  <c r="AF168" i="4"/>
  <c r="BS167" i="4"/>
  <c r="BR167" i="4"/>
  <c r="BQ167" i="4"/>
  <c r="BP167" i="4"/>
  <c r="BO167" i="4"/>
  <c r="BL167" i="4"/>
  <c r="BD167" i="4"/>
  <c r="AV167" i="4"/>
  <c r="AI167" i="6" s="1"/>
  <c r="AN167" i="4"/>
  <c r="AF167" i="4"/>
  <c r="X167" i="4"/>
  <c r="H167" i="4"/>
  <c r="BS166" i="4"/>
  <c r="BR166" i="4"/>
  <c r="BQ166" i="4"/>
  <c r="BP166" i="4"/>
  <c r="BP171" i="4" s="1"/>
  <c r="BO166" i="4"/>
  <c r="BL166" i="4"/>
  <c r="AV166" i="4"/>
  <c r="AN166" i="4"/>
  <c r="X166" i="4"/>
  <c r="P166" i="4"/>
  <c r="BS165" i="4"/>
  <c r="BR165" i="4"/>
  <c r="BQ165" i="4"/>
  <c r="BP165" i="4"/>
  <c r="BO165" i="4"/>
  <c r="BL165" i="4"/>
  <c r="BD165" i="4"/>
  <c r="AV165" i="4"/>
  <c r="AN165" i="4"/>
  <c r="AF165" i="4"/>
  <c r="X165" i="4"/>
  <c r="P165" i="4"/>
  <c r="H165" i="4"/>
  <c r="BS164" i="4"/>
  <c r="BR164" i="4"/>
  <c r="BQ164" i="4"/>
  <c r="BP164" i="4"/>
  <c r="BO164" i="4"/>
  <c r="BL164" i="4"/>
  <c r="BS163" i="4"/>
  <c r="BS171" i="4" s="1"/>
  <c r="BR163" i="4"/>
  <c r="BQ163" i="4"/>
  <c r="BP163" i="4"/>
  <c r="BO163" i="4"/>
  <c r="BL163" i="4"/>
  <c r="AV163" i="4"/>
  <c r="AN163" i="4"/>
  <c r="AF163" i="4"/>
  <c r="P163" i="4"/>
  <c r="H163" i="4"/>
  <c r="BS162" i="4"/>
  <c r="BR162" i="4"/>
  <c r="BQ162" i="4"/>
  <c r="BP162" i="4"/>
  <c r="BO162" i="4"/>
  <c r="BL162" i="4"/>
  <c r="BD162" i="4"/>
  <c r="AV162" i="4"/>
  <c r="AF162" i="4"/>
  <c r="X162" i="4"/>
  <c r="P162" i="4"/>
  <c r="AN161" i="4"/>
  <c r="AN173" i="4" s="1"/>
  <c r="AN196" i="4" s="1"/>
  <c r="BK159" i="4"/>
  <c r="BJ159" i="4"/>
  <c r="BI159" i="4"/>
  <c r="BH159" i="4"/>
  <c r="BG159" i="4"/>
  <c r="BF159" i="4"/>
  <c r="BA159" i="4"/>
  <c r="AZ159" i="4"/>
  <c r="W159" i="4"/>
  <c r="M159" i="4"/>
  <c r="G159" i="4"/>
  <c r="BT158" i="4"/>
  <c r="BS158" i="4"/>
  <c r="BR158" i="4"/>
  <c r="BQ158" i="4"/>
  <c r="BP158" i="4"/>
  <c r="BO158" i="4"/>
  <c r="BN158" i="4"/>
  <c r="BL158" i="4"/>
  <c r="BD158" i="4"/>
  <c r="AV158" i="4"/>
  <c r="AN158" i="4"/>
  <c r="AF158" i="4"/>
  <c r="X158" i="4"/>
  <c r="P158" i="4"/>
  <c r="H158" i="4"/>
  <c r="BS157" i="4"/>
  <c r="BR157" i="4"/>
  <c r="BQ157" i="4"/>
  <c r="BP157" i="4"/>
  <c r="BO157" i="4"/>
  <c r="BL157" i="4"/>
  <c r="BS156" i="4"/>
  <c r="BR156" i="4"/>
  <c r="BQ156" i="4"/>
  <c r="BP156" i="4"/>
  <c r="BO156" i="4"/>
  <c r="BL156" i="4"/>
  <c r="BS155" i="4"/>
  <c r="BR155" i="4"/>
  <c r="BQ155" i="4"/>
  <c r="BP155" i="4"/>
  <c r="BO155" i="4"/>
  <c r="BL155" i="4"/>
  <c r="BL159" i="4" s="1"/>
  <c r="AV155" i="4"/>
  <c r="AN155" i="4"/>
  <c r="AF155" i="4"/>
  <c r="X155" i="4"/>
  <c r="P155" i="4"/>
  <c r="H155" i="4"/>
  <c r="BL154" i="4"/>
  <c r="BC154" i="4"/>
  <c r="BC159" i="4" s="1"/>
  <c r="BB154" i="4"/>
  <c r="BB159" i="4" s="1"/>
  <c r="BA154" i="4"/>
  <c r="AZ154" i="4"/>
  <c r="AU154" i="4"/>
  <c r="AU159" i="4" s="1"/>
  <c r="AT154" i="4"/>
  <c r="AT159" i="4" s="1"/>
  <c r="AM154" i="4"/>
  <c r="AM159" i="4" s="1"/>
  <c r="AL154" i="4"/>
  <c r="AL159" i="4" s="1"/>
  <c r="AJ154" i="4"/>
  <c r="AJ159" i="4" s="1"/>
  <c r="AE154" i="4"/>
  <c r="AE159" i="4" s="1"/>
  <c r="AD154" i="4"/>
  <c r="AD159" i="4" s="1"/>
  <c r="W154" i="4"/>
  <c r="V154" i="4"/>
  <c r="V159" i="4" s="1"/>
  <c r="O154" i="4"/>
  <c r="O159" i="4" s="1"/>
  <c r="N154" i="4"/>
  <c r="M154" i="4"/>
  <c r="G154" i="4"/>
  <c r="F154" i="4"/>
  <c r="F159" i="4" s="1"/>
  <c r="BS153" i="4"/>
  <c r="BR153" i="4"/>
  <c r="BQ153" i="4"/>
  <c r="BP153" i="4"/>
  <c r="BN153" i="4"/>
  <c r="BL153" i="4"/>
  <c r="BS152" i="4"/>
  <c r="BR152" i="4"/>
  <c r="BQ152" i="4"/>
  <c r="BP152" i="4"/>
  <c r="BO152" i="4"/>
  <c r="BL152" i="4"/>
  <c r="BD152" i="4"/>
  <c r="AV152" i="4"/>
  <c r="AN152" i="4"/>
  <c r="H152" i="4"/>
  <c r="BQ149" i="4"/>
  <c r="BP149" i="4"/>
  <c r="BK149" i="4"/>
  <c r="BJ149" i="4"/>
  <c r="BI149" i="4"/>
  <c r="BH149" i="4"/>
  <c r="BG149" i="4"/>
  <c r="BC149" i="4"/>
  <c r="BB149" i="4"/>
  <c r="BA149" i="4"/>
  <c r="AZ149" i="4"/>
  <c r="AY149" i="4"/>
  <c r="AU149" i="4"/>
  <c r="AT149" i="4"/>
  <c r="AS149" i="4"/>
  <c r="AR149" i="4"/>
  <c r="AQ149" i="4"/>
  <c r="AM149" i="4"/>
  <c r="AL149" i="4"/>
  <c r="AK149" i="4"/>
  <c r="AJ149" i="4"/>
  <c r="AI149" i="4"/>
  <c r="AE149" i="4"/>
  <c r="AD149" i="4"/>
  <c r="AC149" i="4"/>
  <c r="AB149" i="4"/>
  <c r="AA149" i="4"/>
  <c r="W149" i="4"/>
  <c r="V149" i="4"/>
  <c r="U149" i="4"/>
  <c r="T149" i="4"/>
  <c r="S149" i="4"/>
  <c r="O149" i="4"/>
  <c r="N149" i="4"/>
  <c r="M149" i="4"/>
  <c r="L149" i="4"/>
  <c r="K149" i="4"/>
  <c r="G149" i="4"/>
  <c r="F149" i="4"/>
  <c r="E149" i="4"/>
  <c r="D149" i="4"/>
  <c r="C149" i="4"/>
  <c r="BS148" i="4"/>
  <c r="BR148" i="4"/>
  <c r="BQ148" i="4"/>
  <c r="BP148" i="4"/>
  <c r="BO148" i="4"/>
  <c r="BD148" i="4"/>
  <c r="BS147" i="4"/>
  <c r="BR147" i="4"/>
  <c r="BQ147" i="4"/>
  <c r="BP147" i="4"/>
  <c r="BO147" i="4"/>
  <c r="BN147" i="4"/>
  <c r="BL147" i="4"/>
  <c r="BD147" i="4"/>
  <c r="AV147" i="4"/>
  <c r="AN147" i="4"/>
  <c r="AF147" i="4"/>
  <c r="X147" i="4"/>
  <c r="P147" i="4"/>
  <c r="H147" i="4"/>
  <c r="BS146" i="4"/>
  <c r="BR146" i="4"/>
  <c r="BQ146" i="4"/>
  <c r="BP146" i="4"/>
  <c r="BO146" i="4"/>
  <c r="BD146" i="4"/>
  <c r="BS145" i="4"/>
  <c r="BR145" i="4"/>
  <c r="BR149" i="4" s="1"/>
  <c r="BQ145" i="4"/>
  <c r="BP145" i="4"/>
  <c r="BO145" i="4"/>
  <c r="BS144" i="4"/>
  <c r="BS149" i="4" s="1"/>
  <c r="BR144" i="4"/>
  <c r="BQ144" i="4"/>
  <c r="BP144" i="4"/>
  <c r="BO144" i="4"/>
  <c r="BO149" i="4" s="1"/>
  <c r="BL144" i="4"/>
  <c r="AF143" i="4"/>
  <c r="AF151" i="4" s="1"/>
  <c r="AF161" i="4" s="1"/>
  <c r="AF173" i="4" s="1"/>
  <c r="AF196" i="4" s="1"/>
  <c r="BP141" i="4"/>
  <c r="BK141" i="4"/>
  <c r="BJ141" i="4"/>
  <c r="BI141" i="4"/>
  <c r="BH141" i="4"/>
  <c r="BC141" i="4"/>
  <c r="BB141" i="4"/>
  <c r="BA141" i="4"/>
  <c r="AZ141" i="4"/>
  <c r="AY141" i="4"/>
  <c r="AU141" i="4"/>
  <c r="AT141" i="4"/>
  <c r="AS141" i="4"/>
  <c r="AR141" i="4"/>
  <c r="AM141" i="4"/>
  <c r="AL141" i="4"/>
  <c r="AK141" i="4"/>
  <c r="AJ141" i="4"/>
  <c r="AI141" i="4"/>
  <c r="AE141" i="4"/>
  <c r="AD141" i="4"/>
  <c r="AC141" i="4"/>
  <c r="AB141" i="4"/>
  <c r="W141" i="4"/>
  <c r="V141" i="4"/>
  <c r="U141" i="4"/>
  <c r="T141" i="4"/>
  <c r="O141" i="4"/>
  <c r="N141" i="4"/>
  <c r="M141" i="4"/>
  <c r="L141" i="4"/>
  <c r="G141" i="4"/>
  <c r="F141" i="4"/>
  <c r="E141" i="4"/>
  <c r="D141" i="4"/>
  <c r="BS140" i="4"/>
  <c r="BR140" i="4"/>
  <c r="BQ140" i="4"/>
  <c r="BP140" i="4"/>
  <c r="BN140" i="4"/>
  <c r="BL140" i="4"/>
  <c r="BG140" i="4"/>
  <c r="BG141" i="4" s="1"/>
  <c r="BD140" i="4"/>
  <c r="AN140" i="4"/>
  <c r="AA141" i="4"/>
  <c r="H140" i="4"/>
  <c r="C141" i="4"/>
  <c r="BS139" i="4"/>
  <c r="BR139" i="4"/>
  <c r="BQ139" i="4"/>
  <c r="BP139" i="4"/>
  <c r="BO139" i="4"/>
  <c r="BD139" i="4"/>
  <c r="AV139" i="4"/>
  <c r="AN139" i="4"/>
  <c r="AF139" i="4"/>
  <c r="X139" i="4"/>
  <c r="P139" i="4"/>
  <c r="H139" i="4"/>
  <c r="BS138" i="4"/>
  <c r="BR138" i="4"/>
  <c r="BQ138" i="4"/>
  <c r="BP138" i="4"/>
  <c r="BO138" i="4"/>
  <c r="BS137" i="4"/>
  <c r="BR137" i="4"/>
  <c r="BQ137" i="4"/>
  <c r="BP137" i="4"/>
  <c r="BO137" i="4"/>
  <c r="BN137" i="4"/>
  <c r="BL137" i="4"/>
  <c r="BD137" i="4"/>
  <c r="AV137" i="4"/>
  <c r="AN137" i="4"/>
  <c r="AF137" i="4"/>
  <c r="X137" i="4"/>
  <c r="P137" i="4"/>
  <c r="K137" i="6" s="1"/>
  <c r="H137" i="4"/>
  <c r="BS136" i="4"/>
  <c r="BR136" i="4"/>
  <c r="BQ136" i="4"/>
  <c r="BP136" i="4"/>
  <c r="BO136" i="4"/>
  <c r="BN136" i="4"/>
  <c r="BL136" i="4"/>
  <c r="BD136" i="4"/>
  <c r="AV136" i="4"/>
  <c r="AN136" i="4"/>
  <c r="AF136" i="4"/>
  <c r="X136" i="4"/>
  <c r="P136" i="4"/>
  <c r="H136" i="4"/>
  <c r="BS135" i="4"/>
  <c r="BR135" i="4"/>
  <c r="BQ135" i="4"/>
  <c r="BP135" i="4"/>
  <c r="BO135" i="4"/>
  <c r="BL135" i="4"/>
  <c r="BD135" i="4"/>
  <c r="AV135" i="4"/>
  <c r="AN135" i="4"/>
  <c r="AF135" i="4"/>
  <c r="P135" i="4"/>
  <c r="AS134" i="4"/>
  <c r="AK134" i="4"/>
  <c r="AC134" i="4"/>
  <c r="X134" i="4"/>
  <c r="X143" i="4" s="1"/>
  <c r="X151" i="4" s="1"/>
  <c r="X161" i="4" s="1"/>
  <c r="X173" i="4" s="1"/>
  <c r="X196" i="4" s="1"/>
  <c r="BS131" i="4"/>
  <c r="BR131" i="4"/>
  <c r="BQ131" i="4"/>
  <c r="BP131" i="4"/>
  <c r="BO131" i="4"/>
  <c r="BN131" i="4"/>
  <c r="BL131" i="4"/>
  <c r="BD131" i="4"/>
  <c r="AV131" i="4"/>
  <c r="AN131" i="4"/>
  <c r="AF131" i="4"/>
  <c r="X131" i="4"/>
  <c r="P131" i="4"/>
  <c r="H131" i="4"/>
  <c r="BS130" i="4"/>
  <c r="BR130" i="4"/>
  <c r="BQ130" i="4"/>
  <c r="BP130" i="4"/>
  <c r="BO130" i="4"/>
  <c r="BL130" i="4"/>
  <c r="AV130" i="4"/>
  <c r="AN130" i="4"/>
  <c r="AF130" i="4"/>
  <c r="X130" i="4"/>
  <c r="P130" i="4"/>
  <c r="H130" i="4"/>
  <c r="BC129" i="4"/>
  <c r="BB129" i="4"/>
  <c r="AZ129" i="4"/>
  <c r="AY129" i="4"/>
  <c r="AM129" i="4"/>
  <c r="AK129" i="4"/>
  <c r="AC129" i="4"/>
  <c r="AA129" i="4"/>
  <c r="Z129" i="4"/>
  <c r="T129" i="4"/>
  <c r="R129" i="4"/>
  <c r="M129" i="4"/>
  <c r="L129" i="4"/>
  <c r="B129" i="4"/>
  <c r="BH128" i="4"/>
  <c r="BC128" i="4"/>
  <c r="BB128" i="4"/>
  <c r="AZ128" i="4"/>
  <c r="AY128" i="4"/>
  <c r="AR128" i="4"/>
  <c r="AL128" i="4"/>
  <c r="AJ128" i="4"/>
  <c r="AA128" i="4"/>
  <c r="W128" i="4"/>
  <c r="V128" i="4"/>
  <c r="R128" i="4"/>
  <c r="N128" i="4"/>
  <c r="M128" i="4"/>
  <c r="B128" i="4"/>
  <c r="BG127" i="4"/>
  <c r="AJ132" i="4"/>
  <c r="BG126" i="4"/>
  <c r="AK132" i="4"/>
  <c r="BK125" i="4"/>
  <c r="BK126" i="4" s="1"/>
  <c r="BJ125" i="4"/>
  <c r="BJ127" i="4" s="1"/>
  <c r="BI125" i="4"/>
  <c r="BH125" i="4"/>
  <c r="BH127" i="4" s="1"/>
  <c r="BG125" i="4"/>
  <c r="BC125" i="4"/>
  <c r="BB125" i="4"/>
  <c r="BA125" i="4"/>
  <c r="AZ125" i="4"/>
  <c r="AS125" i="4"/>
  <c r="AR125" i="4"/>
  <c r="AM125" i="4"/>
  <c r="AL125" i="4"/>
  <c r="AK125" i="4"/>
  <c r="AJ125" i="4"/>
  <c r="AE125" i="4"/>
  <c r="AD125" i="4"/>
  <c r="AC125" i="4"/>
  <c r="AB125" i="4"/>
  <c r="V125" i="4"/>
  <c r="U125" i="4"/>
  <c r="T125" i="4"/>
  <c r="O125" i="4"/>
  <c r="N125" i="4"/>
  <c r="M125" i="4"/>
  <c r="L125" i="4"/>
  <c r="G125" i="4"/>
  <c r="E125" i="4"/>
  <c r="D125" i="4"/>
  <c r="BS124" i="4"/>
  <c r="BR124" i="4"/>
  <c r="BQ124" i="4"/>
  <c r="BP124" i="4"/>
  <c r="BO124" i="4"/>
  <c r="BL124" i="4"/>
  <c r="BD124" i="4"/>
  <c r="AX124" i="4"/>
  <c r="AP124" i="4"/>
  <c r="AV124" i="4" s="1"/>
  <c r="AN124" i="4"/>
  <c r="AF124" i="4"/>
  <c r="X124" i="4"/>
  <c r="BQ123" i="4"/>
  <c r="BP123" i="4"/>
  <c r="BK123" i="4"/>
  <c r="BL123" i="4" s="1"/>
  <c r="BC123" i="4"/>
  <c r="AU123" i="4"/>
  <c r="AU125" i="4" s="1"/>
  <c r="AT123" i="4"/>
  <c r="AT125" i="4" s="1"/>
  <c r="AM123" i="4"/>
  <c r="AE123" i="4"/>
  <c r="W123" i="4"/>
  <c r="X123" i="4"/>
  <c r="O123" i="4"/>
  <c r="P123" i="4"/>
  <c r="G123" i="4"/>
  <c r="F123" i="4"/>
  <c r="E123" i="4"/>
  <c r="BS122" i="4"/>
  <c r="BR122" i="4"/>
  <c r="BQ122" i="4"/>
  <c r="BP122" i="4"/>
  <c r="BN122" i="4"/>
  <c r="BL122" i="4"/>
  <c r="BS121" i="4"/>
  <c r="BR121" i="4"/>
  <c r="BQ121" i="4"/>
  <c r="BP121" i="4"/>
  <c r="BO121" i="4"/>
  <c r="BL121" i="4"/>
  <c r="AF121" i="4"/>
  <c r="BS120" i="4"/>
  <c r="BR120" i="4"/>
  <c r="BQ120" i="4"/>
  <c r="BP120" i="4"/>
  <c r="BO120" i="4"/>
  <c r="BL120" i="4"/>
  <c r="AV120" i="4"/>
  <c r="AN120" i="4"/>
  <c r="AF120" i="4"/>
  <c r="X120" i="4"/>
  <c r="P120" i="4"/>
  <c r="H120" i="4"/>
  <c r="BS119" i="4"/>
  <c r="BR119" i="4"/>
  <c r="BQ119" i="4"/>
  <c r="BQ125" i="4" s="1"/>
  <c r="BP119" i="4"/>
  <c r="BP125" i="4" s="1"/>
  <c r="BO119" i="4"/>
  <c r="BD119" i="4"/>
  <c r="AV119" i="4"/>
  <c r="F119" i="4"/>
  <c r="F125" i="4" s="1"/>
  <c r="AK118" i="4"/>
  <c r="H118" i="4"/>
  <c r="H134" i="4" s="1"/>
  <c r="H143" i="4" s="1"/>
  <c r="H151" i="4" s="1"/>
  <c r="H161" i="4" s="1"/>
  <c r="H173" i="4" s="1"/>
  <c r="BS115" i="4"/>
  <c r="BR115" i="4"/>
  <c r="BQ115" i="4"/>
  <c r="BT115" i="4" s="1"/>
  <c r="BP115" i="4"/>
  <c r="BO115" i="4"/>
  <c r="BN115" i="4"/>
  <c r="BL115" i="4"/>
  <c r="BD115" i="4"/>
  <c r="AV115" i="4"/>
  <c r="AN115" i="4"/>
  <c r="AF115" i="4"/>
  <c r="X115" i="4"/>
  <c r="P115" i="4"/>
  <c r="H115" i="4"/>
  <c r="BT114" i="4"/>
  <c r="BS114" i="4"/>
  <c r="BR114" i="4"/>
  <c r="BQ114" i="4"/>
  <c r="BP114" i="4"/>
  <c r="BO114" i="4"/>
  <c r="BN114" i="4"/>
  <c r="BL114" i="4"/>
  <c r="BD114" i="4"/>
  <c r="AV114" i="4"/>
  <c r="AN114" i="4"/>
  <c r="AF114" i="4"/>
  <c r="X114" i="4"/>
  <c r="P114" i="4"/>
  <c r="H114" i="4"/>
  <c r="BK113" i="4"/>
  <c r="BJ113" i="4"/>
  <c r="BI113" i="4"/>
  <c r="BH113" i="4"/>
  <c r="BG113" i="4"/>
  <c r="BL113" i="4" s="1"/>
  <c r="BF113" i="4"/>
  <c r="BC113" i="4"/>
  <c r="BB113" i="4"/>
  <c r="BA113" i="4"/>
  <c r="AZ113" i="4"/>
  <c r="AY113" i="4"/>
  <c r="BD113" i="4" s="1"/>
  <c r="AX113" i="4"/>
  <c r="AU113" i="4"/>
  <c r="AT113" i="4"/>
  <c r="AS113" i="4"/>
  <c r="AV113" i="4" s="1"/>
  <c r="AR113" i="4"/>
  <c r="AQ113" i="4"/>
  <c r="AP113" i="4"/>
  <c r="AM113" i="4"/>
  <c r="AL113" i="4"/>
  <c r="AK113" i="4"/>
  <c r="AJ113" i="4"/>
  <c r="AI113" i="4"/>
  <c r="AH113" i="4"/>
  <c r="AE113" i="4"/>
  <c r="AF113" i="4" s="1"/>
  <c r="AD113" i="4"/>
  <c r="AC113" i="4"/>
  <c r="AB113" i="4"/>
  <c r="AA113" i="4"/>
  <c r="Z113" i="4"/>
  <c r="W113" i="4"/>
  <c r="V113" i="4"/>
  <c r="U113" i="4"/>
  <c r="T113" i="4"/>
  <c r="S113" i="4"/>
  <c r="R113" i="4"/>
  <c r="X113" i="4" s="1"/>
  <c r="O113" i="4"/>
  <c r="N113" i="4"/>
  <c r="M113" i="4"/>
  <c r="L113" i="4"/>
  <c r="K113" i="4"/>
  <c r="G113" i="4"/>
  <c r="F113" i="4"/>
  <c r="E113" i="4"/>
  <c r="BQ113" i="4" s="1"/>
  <c r="D113" i="4"/>
  <c r="BP113" i="4" s="1"/>
  <c r="C113" i="4"/>
  <c r="B113" i="4"/>
  <c r="BL112" i="4"/>
  <c r="BK112" i="4"/>
  <c r="BJ112" i="4"/>
  <c r="BI112" i="4"/>
  <c r="BH112" i="4"/>
  <c r="BG112" i="4"/>
  <c r="BF112" i="4"/>
  <c r="BC112" i="4"/>
  <c r="BB112" i="4"/>
  <c r="BA112" i="4"/>
  <c r="AZ112" i="4"/>
  <c r="AY112" i="4"/>
  <c r="AX112" i="4"/>
  <c r="BD112" i="4" s="1"/>
  <c r="AU112" i="4"/>
  <c r="BS112" i="4" s="1"/>
  <c r="AT112" i="4"/>
  <c r="AS112" i="4"/>
  <c r="AR112" i="4"/>
  <c r="AQ112" i="4"/>
  <c r="AP112" i="4"/>
  <c r="AM112" i="4"/>
  <c r="AL112" i="4"/>
  <c r="AK112" i="4"/>
  <c r="AJ112" i="4"/>
  <c r="AI112" i="4"/>
  <c r="AH112" i="4"/>
  <c r="AF112" i="4"/>
  <c r="AE112" i="4"/>
  <c r="AD112" i="4"/>
  <c r="AC112" i="4"/>
  <c r="AB112" i="4"/>
  <c r="AA112" i="4"/>
  <c r="Z112" i="4"/>
  <c r="W112" i="4"/>
  <c r="V112" i="4"/>
  <c r="U112" i="4"/>
  <c r="T112" i="4"/>
  <c r="BP112" i="4" s="1"/>
  <c r="S112" i="4"/>
  <c r="R112" i="4"/>
  <c r="O112" i="4"/>
  <c r="N112" i="4"/>
  <c r="M112" i="4"/>
  <c r="L112" i="4"/>
  <c r="K112" i="4"/>
  <c r="G112" i="4"/>
  <c r="F112" i="4"/>
  <c r="E112" i="4"/>
  <c r="D112" i="4"/>
  <c r="C112" i="4"/>
  <c r="B112" i="4"/>
  <c r="BK111" i="4"/>
  <c r="BJ111" i="4"/>
  <c r="AX111" i="4"/>
  <c r="S116" i="4"/>
  <c r="BK116" i="4"/>
  <c r="BJ116" i="4"/>
  <c r="BC110" i="4"/>
  <c r="BB110" i="4"/>
  <c r="AZ110" i="4"/>
  <c r="AX110" i="4"/>
  <c r="AR116" i="4"/>
  <c r="AD116" i="4"/>
  <c r="BK109" i="4"/>
  <c r="BJ109" i="4"/>
  <c r="BI109" i="4"/>
  <c r="BG109" i="4"/>
  <c r="BC109" i="4"/>
  <c r="BB109" i="4"/>
  <c r="BA109" i="4"/>
  <c r="BA110" i="4" s="1"/>
  <c r="AZ109" i="4"/>
  <c r="AY109" i="4"/>
  <c r="AY110" i="4" s="1"/>
  <c r="AX109" i="4"/>
  <c r="AU109" i="4"/>
  <c r="AT109" i="4"/>
  <c r="AS109" i="4"/>
  <c r="AM109" i="4"/>
  <c r="AL109" i="4"/>
  <c r="AK109" i="4"/>
  <c r="AI109" i="4"/>
  <c r="AH109" i="4"/>
  <c r="AH110" i="4" s="1"/>
  <c r="AE109" i="4"/>
  <c r="AD109" i="4"/>
  <c r="AC109" i="4"/>
  <c r="W109" i="4"/>
  <c r="V109" i="4"/>
  <c r="U109" i="4"/>
  <c r="T109" i="4"/>
  <c r="S109" i="4"/>
  <c r="O109" i="4"/>
  <c r="N109" i="4"/>
  <c r="M109" i="4"/>
  <c r="K109" i="4"/>
  <c r="G109" i="4"/>
  <c r="F109" i="4"/>
  <c r="E109" i="4"/>
  <c r="BS108" i="4"/>
  <c r="BR108" i="4"/>
  <c r="BQ108" i="4"/>
  <c r="BP108" i="4"/>
  <c r="BO108" i="4"/>
  <c r="BL108" i="4"/>
  <c r="BD108" i="4"/>
  <c r="AV108" i="4"/>
  <c r="AN108" i="4"/>
  <c r="AF108" i="4"/>
  <c r="X108" i="4"/>
  <c r="BN108" i="4"/>
  <c r="BT108" i="4" s="1"/>
  <c r="H108" i="4"/>
  <c r="BS107" i="4"/>
  <c r="BR107" i="4"/>
  <c r="BQ107" i="4"/>
  <c r="BP107" i="4"/>
  <c r="BO107" i="4"/>
  <c r="BL107" i="4"/>
  <c r="BD107" i="4"/>
  <c r="AV107" i="4"/>
  <c r="AN107" i="4"/>
  <c r="AF107" i="4"/>
  <c r="X107" i="4"/>
  <c r="P107" i="4"/>
  <c r="H107" i="4"/>
  <c r="BS106" i="4"/>
  <c r="BR106" i="4"/>
  <c r="BQ106" i="4"/>
  <c r="BP106" i="4"/>
  <c r="BN106" i="4"/>
  <c r="BL106" i="4"/>
  <c r="BD106" i="4"/>
  <c r="AV106" i="4"/>
  <c r="AN106" i="4"/>
  <c r="AF106" i="4"/>
  <c r="X106" i="4"/>
  <c r="P106" i="4"/>
  <c r="BO106" i="4"/>
  <c r="H106" i="4"/>
  <c r="BS105" i="4"/>
  <c r="BR105" i="4"/>
  <c r="BQ105" i="4"/>
  <c r="BP105" i="4"/>
  <c r="BN105" i="4"/>
  <c r="BL105" i="4"/>
  <c r="BD105" i="4"/>
  <c r="AV105" i="4"/>
  <c r="AN105" i="4"/>
  <c r="BO105" i="4"/>
  <c r="BT105" i="4" s="1"/>
  <c r="X105" i="4"/>
  <c r="P105" i="4"/>
  <c r="H105" i="4"/>
  <c r="BS104" i="4"/>
  <c r="BR104" i="4"/>
  <c r="BQ104" i="4"/>
  <c r="BP104" i="4"/>
  <c r="BN104" i="4"/>
  <c r="BL104" i="4"/>
  <c r="BD104" i="4"/>
  <c r="AV104" i="4"/>
  <c r="AQ109" i="4"/>
  <c r="AN104" i="4"/>
  <c r="AF104" i="4"/>
  <c r="X104" i="4"/>
  <c r="P104" i="4"/>
  <c r="BO104" i="4"/>
  <c r="BS103" i="4"/>
  <c r="BR103" i="4"/>
  <c r="BQ103" i="4"/>
  <c r="BP103" i="4"/>
  <c r="BL103" i="4"/>
  <c r="BD103" i="4"/>
  <c r="AV103" i="4"/>
  <c r="X103" i="4"/>
  <c r="P103" i="4"/>
  <c r="H103" i="4"/>
  <c r="BS102" i="4"/>
  <c r="BR102" i="4"/>
  <c r="BQ102" i="4"/>
  <c r="BO102" i="4"/>
  <c r="BN102" i="4"/>
  <c r="BD102" i="4"/>
  <c r="AR109" i="4"/>
  <c r="AJ109" i="4"/>
  <c r="X102" i="4"/>
  <c r="P102" i="4"/>
  <c r="H102" i="4"/>
  <c r="BS101" i="4"/>
  <c r="BR101" i="4"/>
  <c r="BQ101" i="4"/>
  <c r="BP101" i="4"/>
  <c r="BO101" i="4"/>
  <c r="BL101" i="4"/>
  <c r="BD101" i="4"/>
  <c r="AV101" i="4"/>
  <c r="AN101" i="4"/>
  <c r="AF101" i="4"/>
  <c r="X101" i="4"/>
  <c r="H101" i="4"/>
  <c r="BS100" i="4"/>
  <c r="BR100" i="4"/>
  <c r="BQ100" i="4"/>
  <c r="BP100" i="4"/>
  <c r="BO100" i="4"/>
  <c r="BL100" i="4"/>
  <c r="BD100" i="4"/>
  <c r="AV100" i="4"/>
  <c r="AN100" i="4"/>
  <c r="AF100" i="4"/>
  <c r="X100" i="4"/>
  <c r="P100" i="4"/>
  <c r="H100" i="4"/>
  <c r="BS99" i="4"/>
  <c r="BR99" i="4"/>
  <c r="BQ99" i="4"/>
  <c r="BP99" i="4"/>
  <c r="BO99" i="4"/>
  <c r="BN99" i="4"/>
  <c r="BT99" i="4" s="1"/>
  <c r="BL99" i="4"/>
  <c r="BD99" i="4"/>
  <c r="AV99" i="4"/>
  <c r="AN99" i="4"/>
  <c r="AF99" i="4"/>
  <c r="X99" i="4"/>
  <c r="P99" i="4"/>
  <c r="H99" i="4"/>
  <c r="BS98" i="4"/>
  <c r="BR98" i="4"/>
  <c r="BQ98" i="4"/>
  <c r="BP98" i="4"/>
  <c r="BO98" i="4"/>
  <c r="BL98" i="4"/>
  <c r="BD98" i="4"/>
  <c r="AV98" i="4"/>
  <c r="AN98" i="4"/>
  <c r="AF98" i="4"/>
  <c r="P98" i="4"/>
  <c r="BS97" i="4"/>
  <c r="BR97" i="4"/>
  <c r="BQ97" i="4"/>
  <c r="BP97" i="4"/>
  <c r="BO97" i="4"/>
  <c r="BL97" i="4"/>
  <c r="BD97" i="4"/>
  <c r="AV97" i="4"/>
  <c r="BN97" i="4"/>
  <c r="BT97" i="4" s="1"/>
  <c r="AF97" i="4"/>
  <c r="X97" i="4"/>
  <c r="P97" i="4"/>
  <c r="H97" i="4"/>
  <c r="BS96" i="4"/>
  <c r="BR96" i="4"/>
  <c r="BQ96" i="4"/>
  <c r="BP96" i="4"/>
  <c r="BO96" i="4"/>
  <c r="BL96" i="4"/>
  <c r="BD96" i="4"/>
  <c r="AV96" i="4"/>
  <c r="AN96" i="4"/>
  <c r="AF96" i="4"/>
  <c r="X96" i="4"/>
  <c r="H96" i="4"/>
  <c r="BS95" i="4"/>
  <c r="BR95" i="4"/>
  <c r="BQ95" i="4"/>
  <c r="BP95" i="4"/>
  <c r="BO95" i="4"/>
  <c r="BL95" i="4"/>
  <c r="BD95" i="4"/>
  <c r="AV95" i="4"/>
  <c r="AN95" i="4"/>
  <c r="BN95" i="4"/>
  <c r="BT95" i="4" s="1"/>
  <c r="AF95" i="4"/>
  <c r="X95" i="4"/>
  <c r="P95" i="4"/>
  <c r="H95" i="4"/>
  <c r="BS94" i="4"/>
  <c r="BR94" i="4"/>
  <c r="BQ94" i="4"/>
  <c r="BP94" i="4"/>
  <c r="BL94" i="4"/>
  <c r="BD94" i="4"/>
  <c r="AV94" i="4"/>
  <c r="AN94" i="4"/>
  <c r="X94" i="4"/>
  <c r="H94" i="4"/>
  <c r="BS93" i="4"/>
  <c r="BR93" i="4"/>
  <c r="BQ93" i="4"/>
  <c r="BP93" i="4"/>
  <c r="BO93" i="4"/>
  <c r="BL93" i="4"/>
  <c r="BD93" i="4"/>
  <c r="AV93" i="4"/>
  <c r="AP93" i="4"/>
  <c r="AN93" i="4"/>
  <c r="AF93" i="4"/>
  <c r="X93" i="4"/>
  <c r="P93" i="4"/>
  <c r="H93" i="4"/>
  <c r="BQ91" i="4"/>
  <c r="BQ118" i="4" s="1"/>
  <c r="BQ134" i="4" s="1"/>
  <c r="AK91" i="4"/>
  <c r="U91" i="4"/>
  <c r="U118" i="4" s="1"/>
  <c r="U134" i="4" s="1"/>
  <c r="U151" i="4" s="1"/>
  <c r="U161" i="4" s="1"/>
  <c r="U173" i="4" s="1"/>
  <c r="U196" i="4" s="1"/>
  <c r="E91" i="4"/>
  <c r="E118" i="4" s="1"/>
  <c r="E134" i="4" s="1"/>
  <c r="E151" i="4" s="1"/>
  <c r="E161" i="4" s="1"/>
  <c r="E173" i="4" s="1"/>
  <c r="E196" i="4" s="1"/>
  <c r="BS88" i="4"/>
  <c r="BK88" i="4"/>
  <c r="BJ88" i="4"/>
  <c r="BI88" i="4"/>
  <c r="BH88" i="4"/>
  <c r="BG88" i="4"/>
  <c r="BF88" i="4"/>
  <c r="BC88" i="4"/>
  <c r="BB88" i="4"/>
  <c r="BA88" i="4"/>
  <c r="AZ88" i="4"/>
  <c r="AY88" i="4"/>
  <c r="AX88" i="4"/>
  <c r="AV88" i="4"/>
  <c r="AU88" i="4"/>
  <c r="AT88" i="4"/>
  <c r="AS88" i="4"/>
  <c r="AR88" i="4"/>
  <c r="AQ88" i="4"/>
  <c r="AP88" i="4"/>
  <c r="AN88" i="4"/>
  <c r="AM88" i="4"/>
  <c r="AL88" i="4"/>
  <c r="AK88" i="4"/>
  <c r="AJ88" i="4"/>
  <c r="AI88" i="4"/>
  <c r="AH88" i="4"/>
  <c r="AE88" i="4"/>
  <c r="AD88" i="4"/>
  <c r="AC88" i="4"/>
  <c r="AB88" i="4"/>
  <c r="AA88" i="4"/>
  <c r="Z88" i="4"/>
  <c r="W88" i="4"/>
  <c r="V88" i="4"/>
  <c r="U88" i="4"/>
  <c r="T88" i="4"/>
  <c r="S88" i="4"/>
  <c r="R88" i="4"/>
  <c r="O88" i="4"/>
  <c r="N88" i="4"/>
  <c r="M88" i="4"/>
  <c r="L88" i="4"/>
  <c r="K88" i="4"/>
  <c r="J88" i="4"/>
  <c r="H88" i="4"/>
  <c r="G88" i="4"/>
  <c r="F88" i="4"/>
  <c r="E88" i="4"/>
  <c r="D88" i="4"/>
  <c r="C88" i="4"/>
  <c r="B88" i="4"/>
  <c r="BS87" i="4"/>
  <c r="BR87" i="4"/>
  <c r="BQ87" i="4"/>
  <c r="BP87" i="4"/>
  <c r="BO87" i="4"/>
  <c r="BO88" i="4" s="1"/>
  <c r="BN87" i="4"/>
  <c r="BT87" i="4" s="1"/>
  <c r="BL87" i="4"/>
  <c r="BD87" i="4"/>
  <c r="AV87" i="4"/>
  <c r="AN87" i="4"/>
  <c r="AF87" i="4"/>
  <c r="X87" i="4"/>
  <c r="P87" i="4"/>
  <c r="H87" i="4"/>
  <c r="BS86" i="4"/>
  <c r="BR86" i="4"/>
  <c r="BQ86" i="4"/>
  <c r="BQ88" i="4" s="1"/>
  <c r="BP86" i="4"/>
  <c r="BP88" i="4" s="1"/>
  <c r="BO86" i="4"/>
  <c r="BN86" i="4"/>
  <c r="BL86" i="4"/>
  <c r="BD86" i="4"/>
  <c r="AV86" i="4"/>
  <c r="AN86" i="4"/>
  <c r="AF86" i="4"/>
  <c r="X86" i="4"/>
  <c r="P86" i="4"/>
  <c r="H86" i="4"/>
  <c r="BS85" i="4"/>
  <c r="BT85" i="4" s="1"/>
  <c r="BR85" i="4"/>
  <c r="BQ85" i="4"/>
  <c r="BP85" i="4"/>
  <c r="BO85" i="4"/>
  <c r="BN85" i="4"/>
  <c r="BL85" i="4"/>
  <c r="BL88" i="4" s="1"/>
  <c r="BD85" i="4"/>
  <c r="AV85" i="4"/>
  <c r="AN85" i="4"/>
  <c r="AF85" i="4"/>
  <c r="AF88" i="4" s="1"/>
  <c r="X85" i="4"/>
  <c r="X88" i="4" s="1"/>
  <c r="P85" i="4"/>
  <c r="P88" i="4" s="1"/>
  <c r="H85" i="4"/>
  <c r="BQ84" i="4"/>
  <c r="BA84" i="4"/>
  <c r="BA91" i="4" s="1"/>
  <c r="BA118" i="4" s="1"/>
  <c r="BA134" i="4" s="1"/>
  <c r="AK84" i="4"/>
  <c r="AC84" i="4"/>
  <c r="AC91" i="4" s="1"/>
  <c r="AC118" i="4" s="1"/>
  <c r="U84" i="4"/>
  <c r="M84" i="4"/>
  <c r="M91" i="4" s="1"/>
  <c r="M118" i="4" s="1"/>
  <c r="M134" i="4" s="1"/>
  <c r="BK82" i="4"/>
  <c r="BI82" i="4"/>
  <c r="BH82" i="4"/>
  <c r="BG82" i="4"/>
  <c r="BC82" i="4"/>
  <c r="BB82" i="4"/>
  <c r="BA82" i="4"/>
  <c r="AZ82" i="4"/>
  <c r="AU82" i="4"/>
  <c r="AS82" i="4"/>
  <c r="AM82" i="4"/>
  <c r="AL82" i="4"/>
  <c r="AK82" i="4"/>
  <c r="AJ82" i="4"/>
  <c r="AI82" i="4"/>
  <c r="AE82" i="4"/>
  <c r="AD82" i="4"/>
  <c r="AC82" i="4"/>
  <c r="W82" i="4"/>
  <c r="V82" i="4"/>
  <c r="U82" i="4"/>
  <c r="T82" i="4"/>
  <c r="S82" i="4"/>
  <c r="O82" i="4"/>
  <c r="N82" i="4"/>
  <c r="M82" i="4"/>
  <c r="K82" i="4"/>
  <c r="G82" i="4"/>
  <c r="F82" i="4"/>
  <c r="E82" i="4"/>
  <c r="BS81" i="4"/>
  <c r="BR81" i="4"/>
  <c r="BQ81" i="4"/>
  <c r="BO81" i="4"/>
  <c r="BN81" i="4"/>
  <c r="BL81" i="4"/>
  <c r="BD81" i="4"/>
  <c r="AR81" i="4"/>
  <c r="AV81" i="4" s="1"/>
  <c r="AN81" i="4"/>
  <c r="X81" i="4"/>
  <c r="P81" i="4"/>
  <c r="BS80" i="4"/>
  <c r="BR80" i="4"/>
  <c r="BQ80" i="4"/>
  <c r="BO80" i="4"/>
  <c r="BN80" i="4"/>
  <c r="BL80" i="4"/>
  <c r="BD80" i="4"/>
  <c r="AV80" i="4"/>
  <c r="AR80" i="4"/>
  <c r="AN80" i="4"/>
  <c r="AF80" i="4"/>
  <c r="X80" i="4"/>
  <c r="P80" i="4"/>
  <c r="L82" i="4"/>
  <c r="D82" i="4"/>
  <c r="BT79" i="4"/>
  <c r="BS79" i="4"/>
  <c r="BR79" i="4"/>
  <c r="BQ79" i="4"/>
  <c r="BP79" i="4"/>
  <c r="BO79" i="4"/>
  <c r="BN79" i="4"/>
  <c r="BL79" i="4"/>
  <c r="BD79" i="4"/>
  <c r="AV79" i="4"/>
  <c r="AN79" i="4"/>
  <c r="AF79" i="4"/>
  <c r="X79" i="4"/>
  <c r="P79" i="4"/>
  <c r="H79" i="4"/>
  <c r="BS78" i="4"/>
  <c r="BR78" i="4"/>
  <c r="BQ78" i="4"/>
  <c r="BP78" i="4"/>
  <c r="BO78" i="4"/>
  <c r="BL78" i="4"/>
  <c r="BD78" i="4"/>
  <c r="AV78" i="4"/>
  <c r="AN78" i="4"/>
  <c r="AF78" i="4"/>
  <c r="X78" i="4"/>
  <c r="H78" i="4"/>
  <c r="BS77" i="4"/>
  <c r="BQ77" i="4"/>
  <c r="BP77" i="4"/>
  <c r="BO77" i="4"/>
  <c r="BN77" i="4"/>
  <c r="BJ82" i="4"/>
  <c r="BD77" i="4"/>
  <c r="AT82" i="4"/>
  <c r="AN77" i="4"/>
  <c r="AF77" i="4"/>
  <c r="X77" i="4"/>
  <c r="P77" i="4"/>
  <c r="F77" i="4"/>
  <c r="H77" i="4" s="1"/>
  <c r="BS76" i="4"/>
  <c r="BR76" i="4"/>
  <c r="BQ76" i="4"/>
  <c r="BP76" i="4"/>
  <c r="BO76" i="4"/>
  <c r="BN76" i="4"/>
  <c r="BL76" i="4"/>
  <c r="BF76" i="4"/>
  <c r="BF82" i="4" s="1"/>
  <c r="BD76" i="4"/>
  <c r="AV76" i="4"/>
  <c r="AN76" i="4"/>
  <c r="AF76" i="4"/>
  <c r="X76" i="4"/>
  <c r="P76" i="4"/>
  <c r="H76" i="4"/>
  <c r="BT75" i="4"/>
  <c r="BS75" i="4"/>
  <c r="BR75" i="4"/>
  <c r="BQ75" i="4"/>
  <c r="BP75" i="4"/>
  <c r="BO75" i="4"/>
  <c r="BN75" i="4"/>
  <c r="BL75" i="4"/>
  <c r="BD75" i="4"/>
  <c r="AV75" i="4"/>
  <c r="AN75" i="4"/>
  <c r="AF75" i="4"/>
  <c r="X75" i="4"/>
  <c r="P75" i="4"/>
  <c r="H75" i="4"/>
  <c r="BS74" i="4"/>
  <c r="BR74" i="4"/>
  <c r="BQ74" i="4"/>
  <c r="BP74" i="4"/>
  <c r="BN74" i="4"/>
  <c r="BL74" i="4"/>
  <c r="AY82" i="4"/>
  <c r="AQ82" i="4"/>
  <c r="AN74" i="4"/>
  <c r="AF74" i="4"/>
  <c r="W74" i="6" s="1"/>
  <c r="X74" i="4"/>
  <c r="P74" i="4"/>
  <c r="BS73" i="4"/>
  <c r="BR73" i="4"/>
  <c r="BQ73" i="4"/>
  <c r="BP73" i="4"/>
  <c r="BN73" i="4"/>
  <c r="BL73" i="4"/>
  <c r="BD73" i="4"/>
  <c r="AV73" i="4"/>
  <c r="AI73" i="6" s="1"/>
  <c r="AN73" i="4"/>
  <c r="AC73" i="6" s="1"/>
  <c r="AF73" i="4"/>
  <c r="W73" i="6" s="1"/>
  <c r="X73" i="4"/>
  <c r="Q73" i="6" s="1"/>
  <c r="P73" i="4"/>
  <c r="K73" i="6" s="1"/>
  <c r="H73" i="4"/>
  <c r="BS72" i="4"/>
  <c r="BR72" i="4"/>
  <c r="BQ72" i="4"/>
  <c r="BP72" i="4"/>
  <c r="BO72" i="4"/>
  <c r="BN72" i="4"/>
  <c r="BT72" i="4" s="1"/>
  <c r="BA72" i="6" s="1"/>
  <c r="BD72" i="4"/>
  <c r="AV72" i="4"/>
  <c r="AI72" i="6" s="1"/>
  <c r="AN72" i="4"/>
  <c r="AF72" i="4"/>
  <c r="X72" i="4"/>
  <c r="P72" i="4"/>
  <c r="H72" i="4"/>
  <c r="BS71" i="4"/>
  <c r="BR71" i="4"/>
  <c r="BQ71" i="4"/>
  <c r="BP71" i="4"/>
  <c r="BO71" i="4"/>
  <c r="BL71" i="4"/>
  <c r="BD71" i="4"/>
  <c r="AV71" i="4"/>
  <c r="AI71" i="6" s="1"/>
  <c r="AF71" i="4"/>
  <c r="X71" i="4"/>
  <c r="H71" i="4"/>
  <c r="BS70" i="4"/>
  <c r="BS82" i="4" s="1"/>
  <c r="BR70" i="4"/>
  <c r="BQ70" i="4"/>
  <c r="BP70" i="4"/>
  <c r="BO70" i="4"/>
  <c r="BL70" i="4"/>
  <c r="AX70" i="4"/>
  <c r="BD70" i="4" s="1"/>
  <c r="AV70" i="4"/>
  <c r="AN70" i="4"/>
  <c r="AF70" i="4"/>
  <c r="X70" i="4"/>
  <c r="P70" i="4"/>
  <c r="H70" i="4"/>
  <c r="BS69" i="4"/>
  <c r="BR69" i="4"/>
  <c r="BQ69" i="4"/>
  <c r="BP69" i="4"/>
  <c r="BO69" i="4"/>
  <c r="BL69" i="4"/>
  <c r="BD69" i="4"/>
  <c r="AN69" i="4"/>
  <c r="AF69" i="4"/>
  <c r="W69" i="6" s="1"/>
  <c r="X69" i="4"/>
  <c r="P69" i="4"/>
  <c r="H69" i="4"/>
  <c r="BS68" i="4"/>
  <c r="BR68" i="4"/>
  <c r="BQ68" i="4"/>
  <c r="BP68" i="4"/>
  <c r="BO68" i="4"/>
  <c r="BL68" i="4"/>
  <c r="BT67" i="4"/>
  <c r="BT84" i="4" s="1"/>
  <c r="BT91" i="4" s="1"/>
  <c r="BT118" i="4" s="1"/>
  <c r="BT134" i="4" s="1"/>
  <c r="BT143" i="4" s="1"/>
  <c r="BT151" i="4" s="1"/>
  <c r="BT161" i="4" s="1"/>
  <c r="BT173" i="4" s="1"/>
  <c r="BT196" i="4" s="1"/>
  <c r="BQ67" i="4"/>
  <c r="BI67" i="4"/>
  <c r="BI84" i="4" s="1"/>
  <c r="BI91" i="4" s="1"/>
  <c r="BI118" i="4" s="1"/>
  <c r="BI134" i="4" s="1"/>
  <c r="BA67" i="4"/>
  <c r="AS67" i="4"/>
  <c r="AS84" i="4" s="1"/>
  <c r="AS91" i="4" s="1"/>
  <c r="AS118" i="4" s="1"/>
  <c r="AK67" i="4"/>
  <c r="AC67" i="4"/>
  <c r="X67" i="4"/>
  <c r="X84" i="4" s="1"/>
  <c r="X91" i="4" s="1"/>
  <c r="X118" i="4" s="1"/>
  <c r="U67" i="4"/>
  <c r="P67" i="4"/>
  <c r="P84" i="4" s="1"/>
  <c r="P91" i="4" s="1"/>
  <c r="P118" i="4" s="1"/>
  <c r="M67" i="4"/>
  <c r="E67" i="4"/>
  <c r="E84" i="4" s="1"/>
  <c r="BG65" i="4"/>
  <c r="AL65" i="4"/>
  <c r="BI64" i="4"/>
  <c r="BG64" i="4"/>
  <c r="BB64" i="4"/>
  <c r="BB111" i="4" s="1"/>
  <c r="AY64" i="4"/>
  <c r="AU64" i="4"/>
  <c r="AK64" i="4"/>
  <c r="AJ64" i="4"/>
  <c r="AE64" i="4"/>
  <c r="AA64" i="4"/>
  <c r="W64" i="4"/>
  <c r="V64" i="4"/>
  <c r="U64" i="4"/>
  <c r="O64" i="4"/>
  <c r="M64" i="4"/>
  <c r="F64" i="4"/>
  <c r="B64" i="4"/>
  <c r="B111" i="4" s="1"/>
  <c r="BK63" i="4"/>
  <c r="BK65" i="4" s="1"/>
  <c r="BG63" i="4"/>
  <c r="BC63" i="4"/>
  <c r="BB63" i="4"/>
  <c r="AY63" i="4"/>
  <c r="AR63" i="4"/>
  <c r="AM63" i="4"/>
  <c r="AL63" i="4"/>
  <c r="AK63" i="4"/>
  <c r="AJ63" i="4"/>
  <c r="AA63" i="4"/>
  <c r="Z63" i="4"/>
  <c r="W63" i="4"/>
  <c r="V63" i="4"/>
  <c r="U63" i="4"/>
  <c r="S63" i="4"/>
  <c r="R63" i="4"/>
  <c r="M63" i="4"/>
  <c r="J63" i="4"/>
  <c r="G63" i="4"/>
  <c r="C63" i="4"/>
  <c r="BK61" i="4"/>
  <c r="BK64" i="4" s="1"/>
  <c r="BJ61" i="4"/>
  <c r="BJ64" i="4" s="1"/>
  <c r="BI61" i="4"/>
  <c r="BH61" i="4"/>
  <c r="BH64" i="4" s="1"/>
  <c r="BG61" i="4"/>
  <c r="BF61" i="4"/>
  <c r="BF64" i="4" s="1"/>
  <c r="BC61" i="4"/>
  <c r="BC64" i="4" s="1"/>
  <c r="BB61" i="4"/>
  <c r="BA61" i="4"/>
  <c r="BA64" i="4" s="1"/>
  <c r="BA111" i="4" s="1"/>
  <c r="AZ61" i="4"/>
  <c r="AZ64" i="4" s="1"/>
  <c r="AZ111" i="4" s="1"/>
  <c r="AY61" i="4"/>
  <c r="AX61" i="4"/>
  <c r="AX64" i="4" s="1"/>
  <c r="AU61" i="4"/>
  <c r="AT61" i="4"/>
  <c r="AT64" i="4" s="1"/>
  <c r="AS61" i="4"/>
  <c r="AS64" i="4" s="1"/>
  <c r="AR61" i="4"/>
  <c r="AR64" i="4" s="1"/>
  <c r="AQ61" i="4"/>
  <c r="AQ64" i="4" s="1"/>
  <c r="AP61" i="4"/>
  <c r="AP64" i="4" s="1"/>
  <c r="AP111" i="4" s="1"/>
  <c r="AM61" i="4"/>
  <c r="AM64" i="4" s="1"/>
  <c r="AL61" i="4"/>
  <c r="AL64" i="4" s="1"/>
  <c r="AK61" i="4"/>
  <c r="AJ61" i="4"/>
  <c r="AI61" i="4"/>
  <c r="AI64" i="4" s="1"/>
  <c r="AH61" i="4"/>
  <c r="AH64" i="4" s="1"/>
  <c r="AE61" i="4"/>
  <c r="AD61" i="4"/>
  <c r="AD64" i="4" s="1"/>
  <c r="AC61" i="4"/>
  <c r="AC64" i="4" s="1"/>
  <c r="AB61" i="4"/>
  <c r="AB64" i="4" s="1"/>
  <c r="AA61" i="4"/>
  <c r="Z61" i="4"/>
  <c r="Z64" i="4" s="1"/>
  <c r="W61" i="4"/>
  <c r="V61" i="4"/>
  <c r="U61" i="4"/>
  <c r="T61" i="4"/>
  <c r="T64" i="4" s="1"/>
  <c r="S61" i="4"/>
  <c r="S64" i="4" s="1"/>
  <c r="R61" i="4"/>
  <c r="R64" i="4" s="1"/>
  <c r="O61" i="4"/>
  <c r="N61" i="4"/>
  <c r="N64" i="4" s="1"/>
  <c r="M61" i="4"/>
  <c r="L61" i="4"/>
  <c r="L64" i="4" s="1"/>
  <c r="K61" i="4"/>
  <c r="K64" i="4" s="1"/>
  <c r="G61" i="4"/>
  <c r="G64" i="4" s="1"/>
  <c r="F61" i="4"/>
  <c r="E61" i="4"/>
  <c r="E64" i="4" s="1"/>
  <c r="D61" i="4"/>
  <c r="D64" i="4" s="1"/>
  <c r="C61" i="4"/>
  <c r="C64" i="4" s="1"/>
  <c r="B61" i="4"/>
  <c r="BS60" i="4"/>
  <c r="BR60" i="4"/>
  <c r="BQ60" i="4"/>
  <c r="BP60" i="4"/>
  <c r="BO60" i="4"/>
  <c r="BN60" i="4"/>
  <c r="BL60" i="4"/>
  <c r="BD60" i="4"/>
  <c r="AV60" i="4"/>
  <c r="AN60" i="4"/>
  <c r="AF60" i="4"/>
  <c r="X60" i="4"/>
  <c r="P60" i="4"/>
  <c r="H60" i="4"/>
  <c r="BS59" i="4"/>
  <c r="BR59" i="4"/>
  <c r="BT59" i="4" s="1"/>
  <c r="BQ59" i="4"/>
  <c r="BP59" i="4"/>
  <c r="BO59" i="4"/>
  <c r="BN59" i="4"/>
  <c r="BL59" i="4"/>
  <c r="BD59" i="4"/>
  <c r="AV59" i="4"/>
  <c r="AN59" i="4"/>
  <c r="AF59" i="4"/>
  <c r="X59" i="4"/>
  <c r="P59" i="4"/>
  <c r="H59" i="4"/>
  <c r="BT58" i="4"/>
  <c r="BS58" i="4"/>
  <c r="BR58" i="4"/>
  <c r="BQ58" i="4"/>
  <c r="BP58" i="4"/>
  <c r="BO58" i="4"/>
  <c r="BN58" i="4"/>
  <c r="BL58" i="4"/>
  <c r="BD58" i="4"/>
  <c r="AV58" i="4"/>
  <c r="AN58" i="4"/>
  <c r="AF58" i="4"/>
  <c r="X58" i="4"/>
  <c r="P58" i="4"/>
  <c r="H58" i="4"/>
  <c r="BS57" i="4"/>
  <c r="BR57" i="4"/>
  <c r="BQ57" i="4"/>
  <c r="BP57" i="4"/>
  <c r="BO57" i="4"/>
  <c r="BN57" i="4"/>
  <c r="BT57" i="4" s="1"/>
  <c r="BL57" i="4"/>
  <c r="BD57" i="4"/>
  <c r="AV57" i="4"/>
  <c r="AN57" i="4"/>
  <c r="AF57" i="4"/>
  <c r="X57" i="4"/>
  <c r="P57" i="4"/>
  <c r="H57" i="4"/>
  <c r="BS56" i="4"/>
  <c r="BR56" i="4"/>
  <c r="BQ56" i="4"/>
  <c r="BP56" i="4"/>
  <c r="BO56" i="4"/>
  <c r="BN56" i="4"/>
  <c r="BT56" i="4" s="1"/>
  <c r="BL56" i="4"/>
  <c r="BD56" i="4"/>
  <c r="AV56" i="4"/>
  <c r="AN56" i="4"/>
  <c r="AF56" i="4"/>
  <c r="X56" i="4"/>
  <c r="P56" i="4"/>
  <c r="H56" i="4"/>
  <c r="BS55" i="4"/>
  <c r="BR55" i="4"/>
  <c r="BQ55" i="4"/>
  <c r="BT55" i="4" s="1"/>
  <c r="BP55" i="4"/>
  <c r="BO55" i="4"/>
  <c r="BN55" i="4"/>
  <c r="BL55" i="4"/>
  <c r="BD55" i="4"/>
  <c r="AV55" i="4"/>
  <c r="AN55" i="4"/>
  <c r="AF55" i="4"/>
  <c r="X55" i="4"/>
  <c r="P55" i="4"/>
  <c r="H55" i="4"/>
  <c r="BT54" i="4"/>
  <c r="BS54" i="4"/>
  <c r="BR54" i="4"/>
  <c r="BQ54" i="4"/>
  <c r="BP54" i="4"/>
  <c r="BO54" i="4"/>
  <c r="BN54" i="4"/>
  <c r="BL54" i="4"/>
  <c r="BD54" i="4"/>
  <c r="AV54" i="4"/>
  <c r="AN54" i="4"/>
  <c r="AF54" i="4"/>
  <c r="X54" i="4"/>
  <c r="P54" i="4"/>
  <c r="H54" i="4"/>
  <c r="BS53" i="4"/>
  <c r="BR53" i="4"/>
  <c r="BQ53" i="4"/>
  <c r="BP53" i="4"/>
  <c r="BO53" i="4"/>
  <c r="BN53" i="4"/>
  <c r="BT53" i="4" s="1"/>
  <c r="BL53" i="4"/>
  <c r="BD53" i="4"/>
  <c r="AV53" i="4"/>
  <c r="AN53" i="4"/>
  <c r="AF53" i="4"/>
  <c r="X53" i="4"/>
  <c r="P53" i="4"/>
  <c r="H53" i="4"/>
  <c r="BS52" i="4"/>
  <c r="BR52" i="4"/>
  <c r="BQ52" i="4"/>
  <c r="BP52" i="4"/>
  <c r="BO52" i="4"/>
  <c r="BN52" i="4"/>
  <c r="BT52" i="4" s="1"/>
  <c r="BL52" i="4"/>
  <c r="BD52" i="4"/>
  <c r="AV52" i="4"/>
  <c r="AN52" i="4"/>
  <c r="AF52" i="4"/>
  <c r="X52" i="4"/>
  <c r="P52" i="4"/>
  <c r="H52" i="4"/>
  <c r="BS51" i="4"/>
  <c r="BR51" i="4"/>
  <c r="BQ51" i="4"/>
  <c r="BP51" i="4"/>
  <c r="BO51" i="4"/>
  <c r="BL51" i="4"/>
  <c r="BD51" i="4"/>
  <c r="AV51" i="4"/>
  <c r="AN51" i="4"/>
  <c r="AF51" i="4"/>
  <c r="X51" i="4"/>
  <c r="J51" i="4"/>
  <c r="H51" i="4"/>
  <c r="BS50" i="4"/>
  <c r="BR50" i="4"/>
  <c r="BQ50" i="4"/>
  <c r="BP50" i="4"/>
  <c r="BO50" i="4"/>
  <c r="BN50" i="4"/>
  <c r="BL50" i="4"/>
  <c r="BD50" i="4"/>
  <c r="AO50" i="6" s="1"/>
  <c r="AV50" i="4"/>
  <c r="AI50" i="6" s="1"/>
  <c r="AN50" i="4"/>
  <c r="AF50" i="4"/>
  <c r="X50" i="4"/>
  <c r="P50" i="4"/>
  <c r="H50" i="4"/>
  <c r="BS49" i="4"/>
  <c r="BR49" i="4"/>
  <c r="BQ49" i="4"/>
  <c r="BP49" i="4"/>
  <c r="BO49" i="4"/>
  <c r="BN49" i="4"/>
  <c r="BL49" i="4"/>
  <c r="BD49" i="4"/>
  <c r="AV49" i="4"/>
  <c r="AN49" i="4"/>
  <c r="AF49" i="4"/>
  <c r="X49" i="4"/>
  <c r="P49" i="4"/>
  <c r="H49" i="4"/>
  <c r="BS48" i="4"/>
  <c r="BR48" i="4"/>
  <c r="BQ48" i="4"/>
  <c r="BP48" i="4"/>
  <c r="BO48" i="4"/>
  <c r="BN48" i="4"/>
  <c r="BL48" i="4"/>
  <c r="BD48" i="4"/>
  <c r="AV48" i="4"/>
  <c r="AN48" i="4"/>
  <c r="AF48" i="4"/>
  <c r="X48" i="4"/>
  <c r="P48" i="4"/>
  <c r="H48" i="4"/>
  <c r="BS47" i="4"/>
  <c r="BS61" i="4" s="1"/>
  <c r="BS64" i="4" s="1"/>
  <c r="BR47" i="4"/>
  <c r="BQ47" i="4"/>
  <c r="BP47" i="4"/>
  <c r="BO47" i="4"/>
  <c r="BN47" i="4"/>
  <c r="BL47" i="4"/>
  <c r="BD47" i="4"/>
  <c r="AV47" i="4"/>
  <c r="AN47" i="4"/>
  <c r="AF47" i="4"/>
  <c r="X47" i="4"/>
  <c r="P47" i="4"/>
  <c r="H47" i="4"/>
  <c r="BS46" i="4"/>
  <c r="BT46" i="4" s="1"/>
  <c r="BR46" i="4"/>
  <c r="BQ46" i="4"/>
  <c r="BP46" i="4"/>
  <c r="BO46" i="4"/>
  <c r="BN46" i="4"/>
  <c r="BL46" i="4"/>
  <c r="BD46" i="4"/>
  <c r="AV46" i="4"/>
  <c r="AN46" i="4"/>
  <c r="AF46" i="4"/>
  <c r="X46" i="4"/>
  <c r="P46" i="4"/>
  <c r="H46" i="4"/>
  <c r="BS45" i="4"/>
  <c r="BR45" i="4"/>
  <c r="BQ45" i="4"/>
  <c r="BP45" i="4"/>
  <c r="BO45" i="4"/>
  <c r="BN45" i="4"/>
  <c r="BL45" i="4"/>
  <c r="BD45" i="4"/>
  <c r="AV45" i="4"/>
  <c r="AN45" i="4"/>
  <c r="AF45" i="4"/>
  <c r="X45" i="4"/>
  <c r="P45" i="4"/>
  <c r="H45" i="4"/>
  <c r="BS44" i="4"/>
  <c r="BR44" i="4"/>
  <c r="BQ44" i="4"/>
  <c r="BP44" i="4"/>
  <c r="BO44" i="4"/>
  <c r="BN44" i="4"/>
  <c r="BT44" i="4" s="1"/>
  <c r="BL44" i="4"/>
  <c r="BD44" i="4"/>
  <c r="AV44" i="4"/>
  <c r="AN44" i="4"/>
  <c r="AF44" i="4"/>
  <c r="X44" i="4"/>
  <c r="P44" i="4"/>
  <c r="H44" i="4"/>
  <c r="BS43" i="4"/>
  <c r="BR43" i="4"/>
  <c r="BQ43" i="4"/>
  <c r="BP43" i="4"/>
  <c r="BP61" i="4" s="1"/>
  <c r="BP64" i="4" s="1"/>
  <c r="BO43" i="4"/>
  <c r="BN43" i="4"/>
  <c r="BL43" i="4"/>
  <c r="AU43" i="6" s="1"/>
  <c r="BD43" i="4"/>
  <c r="AV43" i="4"/>
  <c r="AN43" i="4"/>
  <c r="AF43" i="4"/>
  <c r="X43" i="4"/>
  <c r="P43" i="4"/>
  <c r="H43" i="4"/>
  <c r="BS42" i="4"/>
  <c r="BR42" i="4"/>
  <c r="BQ42" i="4"/>
  <c r="BT42" i="4" s="1"/>
  <c r="BP42" i="4"/>
  <c r="BO42" i="4"/>
  <c r="BN42" i="4"/>
  <c r="BL42" i="4"/>
  <c r="BD42" i="4"/>
  <c r="AV42" i="4"/>
  <c r="AN42" i="4"/>
  <c r="AF42" i="4"/>
  <c r="X42" i="4"/>
  <c r="P42" i="4"/>
  <c r="H42" i="4"/>
  <c r="H61" i="4" s="1"/>
  <c r="H64" i="4" s="1"/>
  <c r="BT41" i="4"/>
  <c r="BS41" i="4"/>
  <c r="BR41" i="4"/>
  <c r="BQ41" i="4"/>
  <c r="BP41" i="4"/>
  <c r="BO41" i="4"/>
  <c r="BN41" i="4"/>
  <c r="BL41" i="4"/>
  <c r="BD41" i="4"/>
  <c r="AV41" i="4"/>
  <c r="AN41" i="4"/>
  <c r="AF41" i="4"/>
  <c r="X41" i="4"/>
  <c r="P41" i="4"/>
  <c r="H41" i="4"/>
  <c r="BS40" i="4"/>
  <c r="BR40" i="4"/>
  <c r="BQ40" i="4"/>
  <c r="BP40" i="4"/>
  <c r="BO40" i="4"/>
  <c r="BN40" i="4"/>
  <c r="BT40" i="4" s="1"/>
  <c r="BL40" i="4"/>
  <c r="BD40" i="4"/>
  <c r="AV40" i="4"/>
  <c r="AN40" i="4"/>
  <c r="AF40" i="4"/>
  <c r="X40" i="4"/>
  <c r="P40" i="4"/>
  <c r="H40" i="4"/>
  <c r="BS39" i="4"/>
  <c r="BR39" i="4"/>
  <c r="BQ39" i="4"/>
  <c r="BP39" i="4"/>
  <c r="BO39" i="4"/>
  <c r="BN39" i="4"/>
  <c r="BL39" i="4"/>
  <c r="BD39" i="4"/>
  <c r="AV39" i="4"/>
  <c r="AN39" i="4"/>
  <c r="AF39" i="4"/>
  <c r="X39" i="4"/>
  <c r="P39" i="4"/>
  <c r="H39" i="4"/>
  <c r="BQ38" i="4"/>
  <c r="BL38" i="4"/>
  <c r="BL67" i="4" s="1"/>
  <c r="BL84" i="4" s="1"/>
  <c r="BL91" i="4" s="1"/>
  <c r="BL118" i="4" s="1"/>
  <c r="BL134" i="4" s="1"/>
  <c r="BL143" i="4" s="1"/>
  <c r="BL151" i="4" s="1"/>
  <c r="BL161" i="4" s="1"/>
  <c r="BL173" i="4" s="1"/>
  <c r="BL196" i="4" s="1"/>
  <c r="BI38" i="4"/>
  <c r="BD38" i="4"/>
  <c r="BD67" i="4" s="1"/>
  <c r="BD84" i="4" s="1"/>
  <c r="BD91" i="4" s="1"/>
  <c r="BD118" i="4" s="1"/>
  <c r="BD134" i="4" s="1"/>
  <c r="BD143" i="4" s="1"/>
  <c r="BD151" i="4" s="1"/>
  <c r="BD161" i="4" s="1"/>
  <c r="BD173" i="4" s="1"/>
  <c r="BD196" i="4" s="1"/>
  <c r="BA38" i="4"/>
  <c r="AS38" i="4"/>
  <c r="AK38" i="4"/>
  <c r="AF38" i="4"/>
  <c r="AF67" i="4" s="1"/>
  <c r="AF84" i="4" s="1"/>
  <c r="AF91" i="4" s="1"/>
  <c r="AF118" i="4" s="1"/>
  <c r="AF134" i="4" s="1"/>
  <c r="AC38" i="4"/>
  <c r="X38" i="4"/>
  <c r="U38" i="4"/>
  <c r="P38" i="4"/>
  <c r="M38" i="4"/>
  <c r="E38" i="4"/>
  <c r="BK36" i="4"/>
  <c r="BJ36" i="4"/>
  <c r="BI36" i="4"/>
  <c r="BH36" i="4"/>
  <c r="BG36" i="4"/>
  <c r="BF36" i="4"/>
  <c r="BC36" i="4"/>
  <c r="BB36" i="4"/>
  <c r="BA36" i="4"/>
  <c r="AZ36" i="4"/>
  <c r="AZ63" i="4" s="1"/>
  <c r="AY36" i="4"/>
  <c r="AX36" i="4"/>
  <c r="AU36" i="4"/>
  <c r="AT36" i="4"/>
  <c r="AS36" i="4"/>
  <c r="AR36" i="4"/>
  <c r="AR129" i="4" s="1"/>
  <c r="AQ36" i="4"/>
  <c r="AQ63" i="4" s="1"/>
  <c r="AP36" i="4"/>
  <c r="AP63" i="4" s="1"/>
  <c r="AM36" i="4"/>
  <c r="AM128" i="4" s="1"/>
  <c r="AL36" i="4"/>
  <c r="AL129" i="4" s="1"/>
  <c r="AK36" i="4"/>
  <c r="AK128" i="4" s="1"/>
  <c r="AJ36" i="4"/>
  <c r="AJ129" i="4" s="1"/>
  <c r="AI36" i="4"/>
  <c r="AH36" i="4"/>
  <c r="AN121" i="4" s="1"/>
  <c r="AE36" i="4"/>
  <c r="AE129" i="4" s="1"/>
  <c r="AD36" i="4"/>
  <c r="AC36" i="4"/>
  <c r="AB36" i="4"/>
  <c r="AB63" i="4" s="1"/>
  <c r="AA36" i="4"/>
  <c r="Z36" i="4"/>
  <c r="Z128" i="4" s="1"/>
  <c r="W36" i="4"/>
  <c r="W129" i="4" s="1"/>
  <c r="V36" i="4"/>
  <c r="V129" i="4" s="1"/>
  <c r="U36" i="4"/>
  <c r="T36" i="4"/>
  <c r="S36" i="4"/>
  <c r="R36" i="4"/>
  <c r="O36" i="4"/>
  <c r="O128" i="4" s="1"/>
  <c r="N36" i="4"/>
  <c r="N129" i="4" s="1"/>
  <c r="M36" i="4"/>
  <c r="L36" i="4"/>
  <c r="L63" i="4" s="1"/>
  <c r="K36" i="4"/>
  <c r="J36" i="4"/>
  <c r="G36" i="4"/>
  <c r="F36" i="4"/>
  <c r="E36" i="4"/>
  <c r="D36" i="4"/>
  <c r="C36" i="4"/>
  <c r="C128" i="4" s="1"/>
  <c r="B36" i="4"/>
  <c r="BS35" i="4"/>
  <c r="BR35" i="4"/>
  <c r="BQ35" i="4"/>
  <c r="BP35" i="4"/>
  <c r="BT35" i="4" s="1"/>
  <c r="BO35" i="4"/>
  <c r="BN35" i="4"/>
  <c r="BL35" i="4"/>
  <c r="BD35" i="4"/>
  <c r="AV35" i="4"/>
  <c r="AN35" i="4"/>
  <c r="AF35" i="4"/>
  <c r="X35" i="4"/>
  <c r="P35" i="4"/>
  <c r="H35" i="4"/>
  <c r="BS34" i="4"/>
  <c r="BR34" i="4"/>
  <c r="BQ34" i="4"/>
  <c r="BP34" i="4"/>
  <c r="BO34" i="4"/>
  <c r="BN34" i="4"/>
  <c r="BT34" i="4" s="1"/>
  <c r="BL34" i="4"/>
  <c r="BD34" i="4"/>
  <c r="AV34" i="4"/>
  <c r="AN34" i="4"/>
  <c r="AF34" i="4"/>
  <c r="X34" i="4"/>
  <c r="P34" i="4"/>
  <c r="H34" i="4"/>
  <c r="BS33" i="4"/>
  <c r="BR33" i="4"/>
  <c r="BQ33" i="4"/>
  <c r="BP33" i="4"/>
  <c r="BO33" i="4"/>
  <c r="BN33" i="4"/>
  <c r="BL33" i="4"/>
  <c r="BD33" i="4"/>
  <c r="AV33" i="4"/>
  <c r="AN33" i="4"/>
  <c r="AF33" i="4"/>
  <c r="X33" i="4"/>
  <c r="P33" i="4"/>
  <c r="H33" i="4"/>
  <c r="BS32" i="4"/>
  <c r="BT32" i="4" s="1"/>
  <c r="BR32" i="4"/>
  <c r="BQ32" i="4"/>
  <c r="BP32" i="4"/>
  <c r="BO32" i="4"/>
  <c r="BN32" i="4"/>
  <c r="BL32" i="4"/>
  <c r="BD32" i="4"/>
  <c r="AV32" i="4"/>
  <c r="AN32" i="4"/>
  <c r="AF32" i="4"/>
  <c r="X32" i="4"/>
  <c r="P32" i="4"/>
  <c r="H32" i="4"/>
  <c r="BS31" i="4"/>
  <c r="BR31" i="4"/>
  <c r="BQ31" i="4"/>
  <c r="BP31" i="4"/>
  <c r="BT31" i="4" s="1"/>
  <c r="BO31" i="4"/>
  <c r="BN31" i="4"/>
  <c r="BL31" i="4"/>
  <c r="BD31" i="4"/>
  <c r="AV31" i="4"/>
  <c r="AN31" i="4"/>
  <c r="AF31" i="4"/>
  <c r="X31" i="4"/>
  <c r="P31" i="4"/>
  <c r="H31" i="4"/>
  <c r="BS30" i="4"/>
  <c r="BR30" i="4"/>
  <c r="BQ30" i="4"/>
  <c r="BP30" i="4"/>
  <c r="BO30" i="4"/>
  <c r="BN30" i="4"/>
  <c r="BT30" i="4" s="1"/>
  <c r="BL30" i="4"/>
  <c r="BD30" i="4"/>
  <c r="AV30" i="4"/>
  <c r="AN30" i="4"/>
  <c r="AF30" i="4"/>
  <c r="X30" i="4"/>
  <c r="P30" i="4"/>
  <c r="H30" i="4"/>
  <c r="BS29" i="4"/>
  <c r="BR29" i="4"/>
  <c r="BQ29" i="4"/>
  <c r="BP29" i="4"/>
  <c r="BO29" i="4"/>
  <c r="BN29" i="4"/>
  <c r="BL29" i="4"/>
  <c r="BD29" i="4"/>
  <c r="AV29" i="4"/>
  <c r="AN29" i="4"/>
  <c r="AF29" i="4"/>
  <c r="X29" i="4"/>
  <c r="P29" i="4"/>
  <c r="H29" i="4"/>
  <c r="BS28" i="4"/>
  <c r="BS36" i="4" s="1"/>
  <c r="BS63" i="4" s="1"/>
  <c r="BR28" i="4"/>
  <c r="BT28" i="4" s="1"/>
  <c r="BQ28" i="4"/>
  <c r="BP28" i="4"/>
  <c r="BO28" i="4"/>
  <c r="BN28" i="4"/>
  <c r="BL28" i="4"/>
  <c r="BD28" i="4"/>
  <c r="AV28" i="4"/>
  <c r="AN28" i="4"/>
  <c r="AF28" i="4"/>
  <c r="X28" i="4"/>
  <c r="P28" i="4"/>
  <c r="H28" i="4"/>
  <c r="BS27" i="4"/>
  <c r="BR27" i="4"/>
  <c r="BQ27" i="4"/>
  <c r="BP27" i="4"/>
  <c r="BO27" i="4"/>
  <c r="BN27" i="4"/>
  <c r="BL27" i="4"/>
  <c r="BD27" i="4"/>
  <c r="AV27" i="4"/>
  <c r="AN27" i="4"/>
  <c r="AF27" i="4"/>
  <c r="AF36" i="4" s="1"/>
  <c r="AF63" i="4" s="1"/>
  <c r="X27" i="4"/>
  <c r="P27" i="4"/>
  <c r="H27" i="4"/>
  <c r="BT26" i="4"/>
  <c r="BT38" i="4" s="1"/>
  <c r="BQ26" i="4"/>
  <c r="BI26" i="4"/>
  <c r="BD26" i="4"/>
  <c r="BA26" i="4"/>
  <c r="AV26" i="4"/>
  <c r="AV38" i="4" s="1"/>
  <c r="AV67" i="4" s="1"/>
  <c r="AV84" i="4" s="1"/>
  <c r="AV91" i="4" s="1"/>
  <c r="AV118" i="4" s="1"/>
  <c r="AV134" i="4" s="1"/>
  <c r="AV143" i="4" s="1"/>
  <c r="AV151" i="4" s="1"/>
  <c r="AV161" i="4" s="1"/>
  <c r="AV173" i="4" s="1"/>
  <c r="AV196" i="4" s="1"/>
  <c r="AS26" i="4"/>
  <c r="AN26" i="4"/>
  <c r="AN38" i="4" s="1"/>
  <c r="AN67" i="4" s="1"/>
  <c r="AN84" i="4" s="1"/>
  <c r="AN91" i="4" s="1"/>
  <c r="AN118" i="4" s="1"/>
  <c r="AN134" i="4" s="1"/>
  <c r="AN143" i="4" s="1"/>
  <c r="AN151" i="4" s="1"/>
  <c r="AK26" i="4"/>
  <c r="AF26" i="4"/>
  <c r="AC26" i="4"/>
  <c r="X26" i="4"/>
  <c r="U26" i="4"/>
  <c r="P26" i="4"/>
  <c r="M26" i="4"/>
  <c r="E26" i="4"/>
  <c r="BS25" i="4"/>
  <c r="BR25" i="4"/>
  <c r="BQ25" i="4"/>
  <c r="BO25" i="4"/>
  <c r="BN25" i="4"/>
  <c r="BD25" i="4"/>
  <c r="AV25" i="4"/>
  <c r="AN25" i="4"/>
  <c r="AF25" i="4"/>
  <c r="X25" i="4"/>
  <c r="P25" i="4"/>
  <c r="BS24" i="4"/>
  <c r="BR24" i="4"/>
  <c r="BQ24" i="4"/>
  <c r="BP24" i="4"/>
  <c r="BO24" i="4"/>
  <c r="BL24" i="4"/>
  <c r="BD24" i="4"/>
  <c r="AV24" i="4"/>
  <c r="AI24" i="6" s="1"/>
  <c r="AN24" i="4"/>
  <c r="AH24" i="4"/>
  <c r="AN71" i="4" s="1"/>
  <c r="AF24" i="4"/>
  <c r="X24" i="4"/>
  <c r="J24" i="4"/>
  <c r="H24" i="4"/>
  <c r="BT23" i="4"/>
  <c r="BS23" i="4"/>
  <c r="BR23" i="4"/>
  <c r="BQ23" i="4"/>
  <c r="BP23" i="4"/>
  <c r="BO23" i="4"/>
  <c r="BN23" i="4"/>
  <c r="BL23" i="4"/>
  <c r="BD23" i="4"/>
  <c r="AV23" i="4"/>
  <c r="AN23" i="4"/>
  <c r="AF23" i="4"/>
  <c r="X23" i="4"/>
  <c r="P23" i="4"/>
  <c r="H23" i="4"/>
  <c r="BS22" i="4"/>
  <c r="BR22" i="4"/>
  <c r="BQ22" i="4"/>
  <c r="BP22" i="4"/>
  <c r="BO22" i="4"/>
  <c r="BN22" i="4"/>
  <c r="BL22" i="4"/>
  <c r="BD22" i="4"/>
  <c r="AV22" i="4"/>
  <c r="AN22" i="4"/>
  <c r="AF22" i="4"/>
  <c r="X22" i="4"/>
  <c r="P22" i="4"/>
  <c r="H22" i="4"/>
  <c r="BS21" i="4"/>
  <c r="BR21" i="4"/>
  <c r="BQ21" i="4"/>
  <c r="BP21" i="4"/>
  <c r="BO21" i="4"/>
  <c r="BN21" i="4"/>
  <c r="BL21" i="4"/>
  <c r="BD21" i="4"/>
  <c r="AV21" i="4"/>
  <c r="AN21" i="4"/>
  <c r="AF21" i="4"/>
  <c r="X21" i="4"/>
  <c r="P21" i="4"/>
  <c r="H21" i="4"/>
  <c r="BT20" i="4"/>
  <c r="BT220" i="4" s="1"/>
  <c r="BL20" i="4"/>
  <c r="BL26" i="4" s="1"/>
  <c r="BF17" i="4"/>
  <c r="AY17" i="4"/>
  <c r="AX17" i="4"/>
  <c r="AX163" i="4" s="1"/>
  <c r="AQ17" i="4"/>
  <c r="AP17" i="4"/>
  <c r="AP164" i="4" s="1"/>
  <c r="AI17" i="4"/>
  <c r="AA17" i="4"/>
  <c r="Z17" i="4"/>
  <c r="S17" i="4"/>
  <c r="K17" i="4"/>
  <c r="BN16" i="4"/>
  <c r="BN15" i="4"/>
  <c r="BN14" i="4"/>
  <c r="BA14" i="6" s="1"/>
  <c r="BN13" i="4"/>
  <c r="BA13" i="6" s="1"/>
  <c r="BN12" i="4"/>
  <c r="BN11" i="4"/>
  <c r="BA11" i="6" s="1"/>
  <c r="BN10" i="4"/>
  <c r="BA10" i="6" s="1"/>
  <c r="AH9" i="4"/>
  <c r="AH17" i="4" s="1"/>
  <c r="AN148" i="4" s="1"/>
  <c r="J9" i="4"/>
  <c r="AH8" i="4"/>
  <c r="R8" i="4"/>
  <c r="J8" i="4"/>
  <c r="B8" i="4"/>
  <c r="R7" i="4"/>
  <c r="J7" i="4"/>
  <c r="BN6" i="4"/>
  <c r="J6" i="4"/>
  <c r="BN5" i="4"/>
  <c r="J5" i="4"/>
  <c r="BN4" i="4"/>
  <c r="R4" i="4"/>
  <c r="J4" i="4"/>
  <c r="BF3" i="4"/>
  <c r="AX3" i="4"/>
  <c r="AO3" i="6" s="1"/>
  <c r="AP3" i="4"/>
  <c r="AH3" i="4"/>
  <c r="Z3" i="4"/>
  <c r="J2" i="4"/>
  <c r="R2" i="4" s="1"/>
  <c r="Z2" i="4" s="1"/>
  <c r="AH2" i="4" s="1"/>
  <c r="AP2" i="4" s="1"/>
  <c r="AX2" i="4" s="1"/>
  <c r="BF183" i="15"/>
  <c r="BF121" i="15"/>
  <c r="BF111" i="15"/>
  <c r="BG110" i="15"/>
  <c r="BH110" i="15"/>
  <c r="BI110" i="15"/>
  <c r="BJ110" i="15"/>
  <c r="BK110" i="15"/>
  <c r="BF110" i="15"/>
  <c r="BH102" i="15"/>
  <c r="BF99" i="15"/>
  <c r="BF98" i="15"/>
  <c r="BF94" i="15"/>
  <c r="AX185" i="15"/>
  <c r="AX184" i="15"/>
  <c r="AX183" i="15"/>
  <c r="AX182" i="15"/>
  <c r="AX179" i="15"/>
  <c r="AX177" i="15"/>
  <c r="AX176" i="15"/>
  <c r="AX175" i="15"/>
  <c r="AX167" i="15"/>
  <c r="AX166" i="15"/>
  <c r="AX165" i="15"/>
  <c r="AY154" i="15"/>
  <c r="AX152" i="15"/>
  <c r="AY140" i="15"/>
  <c r="AX135" i="15"/>
  <c r="AY127" i="15"/>
  <c r="AZ127" i="15"/>
  <c r="BA127" i="15"/>
  <c r="BB127" i="15"/>
  <c r="AY126" i="15"/>
  <c r="AZ126" i="15"/>
  <c r="BA126" i="15"/>
  <c r="BB126" i="15"/>
  <c r="BC126" i="15"/>
  <c r="BB123" i="15"/>
  <c r="AX123" i="15"/>
  <c r="AY123" i="15"/>
  <c r="AY122" i="15"/>
  <c r="AX120" i="15"/>
  <c r="AX71" i="15"/>
  <c r="AX69" i="15"/>
  <c r="AT77" i="15"/>
  <c r="AT123" i="15"/>
  <c r="AP98" i="15"/>
  <c r="AP206" i="15"/>
  <c r="AP205" i="15"/>
  <c r="AP203" i="15"/>
  <c r="AP202" i="15"/>
  <c r="AP201" i="15"/>
  <c r="AP200" i="15"/>
  <c r="AP199" i="15"/>
  <c r="AP197" i="15"/>
  <c r="AP187" i="15"/>
  <c r="F9" i="16"/>
  <c r="B3" i="16"/>
  <c r="AP184" i="15"/>
  <c r="AP183" i="15"/>
  <c r="AP182" i="15"/>
  <c r="AP177" i="15"/>
  <c r="AP176" i="15"/>
  <c r="AP175" i="15"/>
  <c r="AP174" i="15"/>
  <c r="AP166" i="15"/>
  <c r="AP154" i="15"/>
  <c r="AQ154" i="15"/>
  <c r="AP152" i="15"/>
  <c r="AQ140" i="15"/>
  <c r="AP135" i="15"/>
  <c r="AR127" i="15"/>
  <c r="AS127" i="15"/>
  <c r="AR126" i="15"/>
  <c r="AS126" i="15"/>
  <c r="AP123" i="15"/>
  <c r="AQ123" i="15"/>
  <c r="AP120" i="15"/>
  <c r="AP119" i="15"/>
  <c r="AR111" i="15"/>
  <c r="AQ111" i="15"/>
  <c r="AS111" i="15"/>
  <c r="AU111" i="15"/>
  <c r="AQ110" i="15"/>
  <c r="AR110" i="15"/>
  <c r="AS110" i="15"/>
  <c r="AT110" i="15"/>
  <c r="AU110" i="15"/>
  <c r="AQ104" i="15"/>
  <c r="AR102" i="15"/>
  <c r="AP101" i="15"/>
  <c r="AP99" i="15"/>
  <c r="AP94" i="15"/>
  <c r="AP93" i="15"/>
  <c r="AQ74" i="15"/>
  <c r="AP71" i="15"/>
  <c r="AP70" i="15"/>
  <c r="AP69" i="15"/>
  <c r="AH206" i="15"/>
  <c r="AH205" i="15"/>
  <c r="AH203" i="15"/>
  <c r="AH202" i="15"/>
  <c r="AH201" i="15"/>
  <c r="AH200" i="15"/>
  <c r="AH199" i="15"/>
  <c r="AH197" i="15"/>
  <c r="AH186" i="15"/>
  <c r="AH184" i="15"/>
  <c r="AH183" i="15"/>
  <c r="AH182" i="15"/>
  <c r="AH179" i="15"/>
  <c r="AH178" i="15"/>
  <c r="AH177" i="15"/>
  <c r="AH176" i="15"/>
  <c r="AH175" i="15"/>
  <c r="AH174" i="15"/>
  <c r="AH168" i="15"/>
  <c r="AH167" i="15"/>
  <c r="AH166" i="15"/>
  <c r="AH165" i="15"/>
  <c r="AH164" i="15"/>
  <c r="AH162" i="15"/>
  <c r="AH154" i="15"/>
  <c r="AI154" i="15"/>
  <c r="AI153" i="15"/>
  <c r="AH152" i="15"/>
  <c r="AH148" i="15"/>
  <c r="AH146" i="15"/>
  <c r="AH145" i="15"/>
  <c r="AH144" i="15"/>
  <c r="AI140" i="15"/>
  <c r="AH138" i="15"/>
  <c r="AH135" i="15"/>
  <c r="AI126" i="15"/>
  <c r="AJ126" i="15"/>
  <c r="AK126" i="15"/>
  <c r="AL126" i="15"/>
  <c r="AM126" i="15"/>
  <c r="AH126" i="15"/>
  <c r="AH124" i="15"/>
  <c r="AH123" i="15"/>
  <c r="AI123" i="15"/>
  <c r="AI122" i="15"/>
  <c r="AH121" i="15"/>
  <c r="AH119" i="15"/>
  <c r="AJ111" i="15"/>
  <c r="AI111" i="15"/>
  <c r="AK111" i="15"/>
  <c r="AL111" i="15"/>
  <c r="AM111" i="15"/>
  <c r="AI110" i="15"/>
  <c r="AJ110" i="15"/>
  <c r="AK110" i="15"/>
  <c r="AL110" i="15"/>
  <c r="AM110" i="15"/>
  <c r="AH108" i="15"/>
  <c r="AH107" i="15"/>
  <c r="AI106" i="15"/>
  <c r="AH103" i="15"/>
  <c r="AJ102" i="15"/>
  <c r="AH101" i="15"/>
  <c r="AH100" i="15"/>
  <c r="AH99" i="15"/>
  <c r="AH98" i="15"/>
  <c r="AH97" i="15"/>
  <c r="AH95" i="15"/>
  <c r="AH94" i="15"/>
  <c r="AH71" i="15"/>
  <c r="AH70" i="15"/>
  <c r="AH69" i="15"/>
  <c r="Z206" i="15"/>
  <c r="Z205" i="15"/>
  <c r="Z203" i="15"/>
  <c r="Z202" i="15"/>
  <c r="Z201" i="15"/>
  <c r="Z200" i="15"/>
  <c r="Z199" i="15"/>
  <c r="Z197" i="15"/>
  <c r="Z185" i="15"/>
  <c r="Z184" i="15"/>
  <c r="Z183" i="15"/>
  <c r="Z182" i="15"/>
  <c r="Z179" i="15"/>
  <c r="Z178" i="15"/>
  <c r="Z177" i="15"/>
  <c r="Z176" i="15"/>
  <c r="Z175" i="15"/>
  <c r="Z174" i="15"/>
  <c r="Z168" i="15"/>
  <c r="Z167" i="15"/>
  <c r="Z166" i="15"/>
  <c r="Z165" i="15"/>
  <c r="Z164" i="15"/>
  <c r="Z162" i="15"/>
  <c r="Z154" i="15"/>
  <c r="AA154" i="15"/>
  <c r="AA153" i="15"/>
  <c r="Z152" i="15"/>
  <c r="Z148" i="15"/>
  <c r="Z146" i="15"/>
  <c r="Z145" i="15"/>
  <c r="Z144" i="15"/>
  <c r="AA140" i="15"/>
  <c r="Z138" i="15"/>
  <c r="Z135" i="15"/>
  <c r="AA127" i="15"/>
  <c r="AB127" i="15"/>
  <c r="AC127" i="15"/>
  <c r="AD127" i="15"/>
  <c r="AE127" i="15"/>
  <c r="Z127" i="15"/>
  <c r="AA126" i="15"/>
  <c r="AB126" i="15"/>
  <c r="AC126" i="15"/>
  <c r="AD126" i="15"/>
  <c r="AE126" i="15"/>
  <c r="Z126" i="15"/>
  <c r="Z124" i="15"/>
  <c r="Z123" i="15"/>
  <c r="AA123" i="15"/>
  <c r="AA122" i="15"/>
  <c r="Z121" i="15"/>
  <c r="Z119" i="15"/>
  <c r="AA111" i="15"/>
  <c r="AB111" i="15"/>
  <c r="AC111" i="15"/>
  <c r="AD111" i="15"/>
  <c r="AE111" i="15"/>
  <c r="Z111" i="15"/>
  <c r="AB110" i="15"/>
  <c r="AC110" i="15"/>
  <c r="AD110" i="15"/>
  <c r="AE110" i="15"/>
  <c r="AA110" i="15"/>
  <c r="Z110" i="15"/>
  <c r="Z108" i="15"/>
  <c r="Z107" i="15"/>
  <c r="AA106" i="15"/>
  <c r="AA105" i="15"/>
  <c r="AA104" i="15"/>
  <c r="AA103" i="15"/>
  <c r="AB102" i="15"/>
  <c r="Z101" i="15"/>
  <c r="AX145" i="5" l="1"/>
  <c r="AX138" i="5"/>
  <c r="BD138" i="5" s="1"/>
  <c r="AP138" i="6" s="1"/>
  <c r="AX168" i="5"/>
  <c r="AX144" i="5"/>
  <c r="AX163" i="5"/>
  <c r="AX178" i="5"/>
  <c r="BD178" i="5" s="1"/>
  <c r="AP178" i="6" s="1"/>
  <c r="AY153" i="5"/>
  <c r="AY159" i="5" s="1"/>
  <c r="AX164" i="4"/>
  <c r="AX145" i="4"/>
  <c r="AX149" i="4" s="1"/>
  <c r="AX130" i="4"/>
  <c r="AY153" i="4"/>
  <c r="AX178" i="4"/>
  <c r="BD178" i="4" s="1"/>
  <c r="AO178" i="6" s="1"/>
  <c r="AX155" i="4"/>
  <c r="BT43" i="5"/>
  <c r="BB43" i="6" s="1"/>
  <c r="BF126" i="5"/>
  <c r="BJ127" i="5"/>
  <c r="BL82" i="5"/>
  <c r="AV82" i="6" s="1"/>
  <c r="AP148" i="5"/>
  <c r="AJ17" i="6"/>
  <c r="AP138" i="5"/>
  <c r="AP164" i="5"/>
  <c r="AV178" i="5"/>
  <c r="AJ178" i="6" s="1"/>
  <c r="AP145" i="5"/>
  <c r="AP168" i="5"/>
  <c r="AP185" i="5"/>
  <c r="BN185" i="5" s="1"/>
  <c r="BT185" i="5" s="1"/>
  <c r="BB185" i="6" s="1"/>
  <c r="AP146" i="5"/>
  <c r="AV146" i="5" s="1"/>
  <c r="AJ146" i="6" s="1"/>
  <c r="AP145" i="4"/>
  <c r="AV145" i="4" s="1"/>
  <c r="AI145" i="6" s="1"/>
  <c r="AP144" i="4"/>
  <c r="AI17" i="6"/>
  <c r="BT72" i="5"/>
  <c r="BB72" i="6" s="1"/>
  <c r="F213" i="6"/>
  <c r="H26" i="1" s="1"/>
  <c r="BT192" i="4"/>
  <c r="BA192" i="6" s="1"/>
  <c r="G26" i="1"/>
  <c r="F55" i="18"/>
  <c r="D56" i="18"/>
  <c r="Q46" i="18"/>
  <c r="J44" i="18"/>
  <c r="E44" i="18"/>
  <c r="E46" i="18"/>
  <c r="C56" i="18"/>
  <c r="J46" i="18"/>
  <c r="E56" i="18"/>
  <c r="F53" i="18"/>
  <c r="Q44" i="18"/>
  <c r="F54" i="18"/>
  <c r="BT187" i="4"/>
  <c r="BT77" i="5"/>
  <c r="BB77" i="6" s="1"/>
  <c r="H11" i="1" s="1"/>
  <c r="AV140" i="5"/>
  <c r="AP146" i="4"/>
  <c r="AV146" i="4" s="1"/>
  <c r="AI146" i="6" s="1"/>
  <c r="AP178" i="4"/>
  <c r="AP148" i="4"/>
  <c r="AQ153" i="4"/>
  <c r="AP185" i="4"/>
  <c r="AV185" i="4" s="1"/>
  <c r="AI185" i="6" s="1"/>
  <c r="AN112" i="5"/>
  <c r="AD112" i="6" s="1"/>
  <c r="AN61" i="5"/>
  <c r="AH207" i="5"/>
  <c r="BT107" i="5"/>
  <c r="AA116" i="5"/>
  <c r="BO113" i="5"/>
  <c r="X207" i="5"/>
  <c r="R207" i="6" s="1"/>
  <c r="BN61" i="5"/>
  <c r="BN64" i="5" s="1"/>
  <c r="N116" i="5"/>
  <c r="O116" i="5"/>
  <c r="BT104" i="5"/>
  <c r="BT180" i="5"/>
  <c r="H80" i="5"/>
  <c r="BO82" i="5"/>
  <c r="BR126" i="5"/>
  <c r="BQ65" i="5"/>
  <c r="BT88" i="5"/>
  <c r="BD111" i="5"/>
  <c r="AF148" i="5"/>
  <c r="X148" i="6" s="1"/>
  <c r="AF145" i="5"/>
  <c r="X145" i="6" s="1"/>
  <c r="AF178" i="5"/>
  <c r="X178" i="6" s="1"/>
  <c r="AF138" i="5"/>
  <c r="X138" i="6" s="1"/>
  <c r="AF168" i="5"/>
  <c r="X168" i="6" s="1"/>
  <c r="AF146" i="5"/>
  <c r="X146" i="6" s="1"/>
  <c r="Z68" i="5"/>
  <c r="AR65" i="5"/>
  <c r="D109" i="5"/>
  <c r="H102" i="5"/>
  <c r="BP102" i="5"/>
  <c r="BT102" i="5" s="1"/>
  <c r="AU116" i="5"/>
  <c r="BK111" i="5"/>
  <c r="BS111" i="5" s="1"/>
  <c r="BK116" i="5"/>
  <c r="P197" i="5"/>
  <c r="J207" i="5"/>
  <c r="AS65" i="5"/>
  <c r="AF110" i="5"/>
  <c r="X110" i="6" s="1"/>
  <c r="BA116" i="5"/>
  <c r="BO194" i="5"/>
  <c r="BT174" i="5"/>
  <c r="Z128" i="5"/>
  <c r="Z129" i="5"/>
  <c r="AF121" i="5"/>
  <c r="X121" i="6" s="1"/>
  <c r="BC128" i="5"/>
  <c r="BC63" i="5"/>
  <c r="BC129" i="5"/>
  <c r="AV61" i="5"/>
  <c r="U132" i="5"/>
  <c r="U65" i="5"/>
  <c r="AT132" i="5"/>
  <c r="AT65" i="5"/>
  <c r="BT97" i="5"/>
  <c r="T109" i="5"/>
  <c r="X102" i="5"/>
  <c r="BN163" i="5"/>
  <c r="BT163" i="5" s="1"/>
  <c r="BB163" i="6" s="1"/>
  <c r="X163" i="5"/>
  <c r="R163" i="6" s="1"/>
  <c r="L128" i="5"/>
  <c r="L154" i="5"/>
  <c r="L159" i="5" s="1"/>
  <c r="L63" i="5"/>
  <c r="AA128" i="5"/>
  <c r="BO128" i="5" s="1"/>
  <c r="BO154" i="5"/>
  <c r="AA63" i="5"/>
  <c r="AA129" i="5"/>
  <c r="AV121" i="5"/>
  <c r="AJ121" i="6" s="1"/>
  <c r="AP63" i="5"/>
  <c r="AP129" i="5"/>
  <c r="H61" i="5"/>
  <c r="BP61" i="5"/>
  <c r="BP64" i="5" s="1"/>
  <c r="V132" i="5"/>
  <c r="V65" i="5"/>
  <c r="P97" i="5"/>
  <c r="L97" i="6" s="1"/>
  <c r="AB116" i="5"/>
  <c r="BD113" i="5"/>
  <c r="M128" i="5"/>
  <c r="BQ128" i="5" s="1"/>
  <c r="M129" i="5"/>
  <c r="BQ129" i="5" s="1"/>
  <c r="M63" i="5"/>
  <c r="M154" i="5"/>
  <c r="M159" i="5" s="1"/>
  <c r="AB154" i="5"/>
  <c r="AB159" i="5" s="1"/>
  <c r="AB128" i="5"/>
  <c r="AB129" i="5"/>
  <c r="AB63" i="5"/>
  <c r="AQ128" i="5"/>
  <c r="AQ129" i="5"/>
  <c r="AQ63" i="5"/>
  <c r="BF128" i="5"/>
  <c r="BF129" i="5"/>
  <c r="BF63" i="5"/>
  <c r="BF65" i="5" s="1"/>
  <c r="B116" i="5"/>
  <c r="W65" i="5"/>
  <c r="AS143" i="5"/>
  <c r="AS151" i="5"/>
  <c r="AS161" i="5" s="1"/>
  <c r="AS173" i="5" s="1"/>
  <c r="AS196" i="5" s="1"/>
  <c r="AC116" i="5"/>
  <c r="AC151" i="5"/>
  <c r="AC161" i="5" s="1"/>
  <c r="AC173" i="5" s="1"/>
  <c r="AC196" i="5" s="1"/>
  <c r="AC143" i="5"/>
  <c r="BO216" i="5"/>
  <c r="BT212" i="5"/>
  <c r="AC129" i="5"/>
  <c r="AC63" i="5"/>
  <c r="AC128" i="5"/>
  <c r="AC154" i="5"/>
  <c r="AC159" i="5" s="1"/>
  <c r="BG129" i="5"/>
  <c r="BG128" i="5"/>
  <c r="BG132" i="5" s="1"/>
  <c r="BG209" i="5" s="1"/>
  <c r="BG218" i="5" s="1"/>
  <c r="BG63" i="5"/>
  <c r="BG65" i="5" s="1"/>
  <c r="X61" i="5"/>
  <c r="C132" i="5"/>
  <c r="BI65" i="5"/>
  <c r="BF109" i="5"/>
  <c r="BL94" i="5"/>
  <c r="BP112" i="5"/>
  <c r="BT112" i="5" s="1"/>
  <c r="BQ151" i="5"/>
  <c r="BQ161" i="5" s="1"/>
  <c r="BQ173" i="5" s="1"/>
  <c r="BQ196" i="5" s="1"/>
  <c r="BQ143" i="5"/>
  <c r="BD135" i="5"/>
  <c r="AX141" i="5"/>
  <c r="BL140" i="5"/>
  <c r="H146" i="5"/>
  <c r="P71" i="5"/>
  <c r="L71" i="6" s="1"/>
  <c r="BN24" i="5"/>
  <c r="BT24" i="5" s="1"/>
  <c r="BB24" i="6" s="1"/>
  <c r="O129" i="5"/>
  <c r="BS129" i="5" s="1"/>
  <c r="O63" i="5"/>
  <c r="O128" i="5"/>
  <c r="BS128" i="5" s="1"/>
  <c r="AD129" i="5"/>
  <c r="AD128" i="5"/>
  <c r="AD63" i="5"/>
  <c r="BH129" i="5"/>
  <c r="BH63" i="5"/>
  <c r="BH65" i="5" s="1"/>
  <c r="BH128" i="5"/>
  <c r="BH132" i="5" s="1"/>
  <c r="Z63" i="5"/>
  <c r="BJ65" i="5"/>
  <c r="BA143" i="5"/>
  <c r="BA151" i="5"/>
  <c r="BA161" i="5" s="1"/>
  <c r="BA173" i="5" s="1"/>
  <c r="BA196" i="5" s="1"/>
  <c r="AF106" i="5"/>
  <c r="X106" i="6" s="1"/>
  <c r="BO106" i="5"/>
  <c r="BT106" i="5" s="1"/>
  <c r="BQ112" i="5"/>
  <c r="M116" i="5"/>
  <c r="P24" i="5"/>
  <c r="BL36" i="5"/>
  <c r="BL63" i="5" s="1"/>
  <c r="B129" i="5"/>
  <c r="B63" i="5"/>
  <c r="B128" i="5"/>
  <c r="BK65" i="5"/>
  <c r="H112" i="5"/>
  <c r="G132" i="5"/>
  <c r="G209" i="5" s="1"/>
  <c r="G218" i="5" s="1"/>
  <c r="BD123" i="5"/>
  <c r="AP123" i="6" s="1"/>
  <c r="BN135" i="5"/>
  <c r="H138" i="5"/>
  <c r="H141" i="5" s="1"/>
  <c r="B141" i="5"/>
  <c r="BO171" i="5"/>
  <c r="AF181" i="5"/>
  <c r="X181" i="6" s="1"/>
  <c r="P143" i="5"/>
  <c r="P151" i="5" s="1"/>
  <c r="P161" i="5" s="1"/>
  <c r="P173" i="5" s="1"/>
  <c r="P196" i="5" s="1"/>
  <c r="P134" i="5"/>
  <c r="BP36" i="5"/>
  <c r="BP63" i="5" s="1"/>
  <c r="BT27" i="5"/>
  <c r="BN36" i="5"/>
  <c r="BN63" i="5" s="1"/>
  <c r="BT28" i="5"/>
  <c r="BR111" i="5"/>
  <c r="F65" i="5"/>
  <c r="BN70" i="5"/>
  <c r="BT70" i="5" s="1"/>
  <c r="AN109" i="5"/>
  <c r="AD109" i="6" s="1"/>
  <c r="AL116" i="5"/>
  <c r="BC116" i="5"/>
  <c r="X112" i="5"/>
  <c r="AN123" i="5"/>
  <c r="AD123" i="6" s="1"/>
  <c r="AH125" i="5"/>
  <c r="AJ194" i="5"/>
  <c r="AN181" i="5"/>
  <c r="AD181" i="6" s="1"/>
  <c r="J17" i="5"/>
  <c r="BL26" i="5"/>
  <c r="BL38" i="5" s="1"/>
  <c r="BL67" i="5" s="1"/>
  <c r="BL84" i="5" s="1"/>
  <c r="BL91" i="5" s="1"/>
  <c r="BL118" i="5" s="1"/>
  <c r="BL134" i="5" s="1"/>
  <c r="BL143" i="5" s="1"/>
  <c r="BL151" i="5" s="1"/>
  <c r="BL161" i="5" s="1"/>
  <c r="BL173" i="5" s="1"/>
  <c r="BL196" i="5" s="1"/>
  <c r="BL220" i="5"/>
  <c r="BO36" i="5"/>
  <c r="BO63" i="5" s="1"/>
  <c r="BD61" i="5"/>
  <c r="G65" i="5"/>
  <c r="AF70" i="5"/>
  <c r="X70" i="6" s="1"/>
  <c r="F218" i="5"/>
  <c r="BI143" i="5"/>
  <c r="BI151" i="5"/>
  <c r="BI161" i="5" s="1"/>
  <c r="BI173" i="5" s="1"/>
  <c r="BI196" i="5" s="1"/>
  <c r="AV93" i="5"/>
  <c r="AP109" i="5"/>
  <c r="AF107" i="5"/>
  <c r="X107" i="6" s="1"/>
  <c r="AM116" i="5"/>
  <c r="U116" i="5"/>
  <c r="L129" i="5"/>
  <c r="H165" i="5"/>
  <c r="D194" i="5"/>
  <c r="H180" i="5"/>
  <c r="AN207" i="5"/>
  <c r="AD207" i="6" s="1"/>
  <c r="N129" i="5"/>
  <c r="N128" i="5"/>
  <c r="BR128" i="5" s="1"/>
  <c r="N63" i="5"/>
  <c r="AS129" i="5"/>
  <c r="AS132" i="5" s="1"/>
  <c r="AS209" i="5" s="1"/>
  <c r="AS218" i="5" s="1"/>
  <c r="AS154" i="5"/>
  <c r="AS159" i="5" s="1"/>
  <c r="BN5" i="5"/>
  <c r="BN9" i="5"/>
  <c r="BN3" i="5" s="1"/>
  <c r="BB3" i="6" s="1"/>
  <c r="X164" i="5"/>
  <c r="R164" i="6" s="1"/>
  <c r="X148" i="5"/>
  <c r="R148" i="6" s="1"/>
  <c r="X145" i="5"/>
  <c r="R145" i="6" s="1"/>
  <c r="X146" i="5"/>
  <c r="R146" i="6" s="1"/>
  <c r="X138" i="5"/>
  <c r="X168" i="5"/>
  <c r="R168" i="6" s="1"/>
  <c r="R68" i="5"/>
  <c r="H36" i="5"/>
  <c r="H63" i="5" s="1"/>
  <c r="BL61" i="5"/>
  <c r="AL65" i="5"/>
  <c r="H71" i="5"/>
  <c r="AJ82" i="5"/>
  <c r="AN81" i="5"/>
  <c r="AD81" i="6" s="1"/>
  <c r="BP81" i="5"/>
  <c r="BP82" i="5" s="1"/>
  <c r="BD109" i="5"/>
  <c r="BI111" i="5"/>
  <c r="BQ111" i="5" s="1"/>
  <c r="BI116" i="5"/>
  <c r="BI209" i="5" s="1"/>
  <c r="BI218" i="5" s="1"/>
  <c r="V116" i="5"/>
  <c r="BT114" i="5"/>
  <c r="AX116" i="5"/>
  <c r="BK132" i="5"/>
  <c r="BK209" i="5" s="1"/>
  <c r="BK218" i="5" s="1"/>
  <c r="BN197" i="5"/>
  <c r="AR129" i="5"/>
  <c r="AR132" i="5" s="1"/>
  <c r="AR154" i="5"/>
  <c r="AR159" i="5" s="1"/>
  <c r="K116" i="5"/>
  <c r="K65" i="5"/>
  <c r="AM132" i="5"/>
  <c r="AM65" i="5"/>
  <c r="BN69" i="5"/>
  <c r="BT69" i="5" s="1"/>
  <c r="K82" i="5"/>
  <c r="P104" i="5"/>
  <c r="L104" i="6" s="1"/>
  <c r="BD153" i="5"/>
  <c r="AP153" i="6" s="1"/>
  <c r="BS171" i="5"/>
  <c r="BN200" i="5"/>
  <c r="BT200" i="5" s="1"/>
  <c r="H200" i="5"/>
  <c r="H207" i="5" s="1"/>
  <c r="BQ61" i="5"/>
  <c r="BQ64" i="5" s="1"/>
  <c r="X81" i="5"/>
  <c r="AR116" i="5"/>
  <c r="AQ109" i="5"/>
  <c r="AV104" i="5"/>
  <c r="BS110" i="5"/>
  <c r="AN113" i="5"/>
  <c r="AD113" i="6" s="1"/>
  <c r="W128" i="5"/>
  <c r="C129" i="5"/>
  <c r="P152" i="5"/>
  <c r="L152" i="6" s="1"/>
  <c r="BP126" i="5"/>
  <c r="AJ132" i="5"/>
  <c r="K141" i="5"/>
  <c r="BO140" i="5"/>
  <c r="BT140" i="5" s="1"/>
  <c r="P140" i="5"/>
  <c r="L140" i="6" s="1"/>
  <c r="AN175" i="5"/>
  <c r="AD175" i="6" s="1"/>
  <c r="R129" i="5"/>
  <c r="R63" i="5"/>
  <c r="AE129" i="5"/>
  <c r="AE128" i="5"/>
  <c r="AU65" i="5"/>
  <c r="AE116" i="5"/>
  <c r="BL126" i="5"/>
  <c r="AV126" i="6" s="1"/>
  <c r="BQ126" i="5"/>
  <c r="E132" i="5"/>
  <c r="E209" i="5" s="1"/>
  <c r="E218" i="5" s="1"/>
  <c r="R128" i="5"/>
  <c r="BD130" i="5"/>
  <c r="AP130" i="6" s="1"/>
  <c r="D132" i="5"/>
  <c r="H145" i="5"/>
  <c r="F145" i="6" s="1"/>
  <c r="BR61" i="5"/>
  <c r="BR64" i="5" s="1"/>
  <c r="BR65" i="5" s="1"/>
  <c r="AE63" i="5"/>
  <c r="B157" i="5"/>
  <c r="B170" i="5"/>
  <c r="B156" i="5"/>
  <c r="B82" i="5"/>
  <c r="X74" i="5"/>
  <c r="BQ109" i="5"/>
  <c r="BT95" i="5"/>
  <c r="P105" i="5"/>
  <c r="L105" i="6" s="1"/>
  <c r="BO105" i="5"/>
  <c r="BT105" i="5" s="1"/>
  <c r="F132" i="5"/>
  <c r="F209" i="5" s="1"/>
  <c r="BL119" i="5"/>
  <c r="BL127" i="5"/>
  <c r="AV127" i="6" s="1"/>
  <c r="BF141" i="5"/>
  <c r="BL138" i="5"/>
  <c r="BR154" i="5"/>
  <c r="BR159" i="5" s="1"/>
  <c r="AV185" i="5"/>
  <c r="AJ185" i="6" s="1"/>
  <c r="AV168" i="5"/>
  <c r="AJ168" i="6" s="1"/>
  <c r="AV145" i="5"/>
  <c r="AJ145" i="6" s="1"/>
  <c r="AV138" i="5"/>
  <c r="AP68" i="5"/>
  <c r="AV148" i="5"/>
  <c r="AJ148" i="6" s="1"/>
  <c r="AV164" i="5"/>
  <c r="AJ164" i="6" s="1"/>
  <c r="AF36" i="5"/>
  <c r="AF63" i="5" s="1"/>
  <c r="BS61" i="5"/>
  <c r="BS64" i="5" s="1"/>
  <c r="BS65" i="5" s="1"/>
  <c r="AI116" i="5"/>
  <c r="H68" i="5"/>
  <c r="H82" i="5" s="1"/>
  <c r="F82" i="6" s="1"/>
  <c r="AA82" i="5"/>
  <c r="AF74" i="5"/>
  <c r="X74" i="6" s="1"/>
  <c r="P95" i="5"/>
  <c r="L95" i="6" s="1"/>
  <c r="AK116" i="5"/>
  <c r="BN113" i="5"/>
  <c r="H119" i="5"/>
  <c r="BA132" i="5"/>
  <c r="BA209" i="5" s="1"/>
  <c r="BA218" i="5" s="1"/>
  <c r="BL171" i="5"/>
  <c r="AV171" i="6" s="1"/>
  <c r="J78" i="5"/>
  <c r="BN166" i="5"/>
  <c r="BT166" i="5" s="1"/>
  <c r="H166" i="5"/>
  <c r="H168" i="5"/>
  <c r="BN203" i="5"/>
  <c r="BT203" i="5" s="1"/>
  <c r="AY128" i="5"/>
  <c r="AY129" i="5"/>
  <c r="BT39" i="5"/>
  <c r="BT41" i="5"/>
  <c r="AJ116" i="5"/>
  <c r="AH65" i="5"/>
  <c r="AY63" i="5"/>
  <c r="BS82" i="5"/>
  <c r="BT73" i="5"/>
  <c r="BB73" i="6" s="1"/>
  <c r="BS109" i="5"/>
  <c r="BR110" i="5"/>
  <c r="P119" i="5"/>
  <c r="L119" i="6" s="1"/>
  <c r="J125" i="5"/>
  <c r="BP125" i="5"/>
  <c r="BS141" i="5"/>
  <c r="BD163" i="5"/>
  <c r="AP163" i="6" s="1"/>
  <c r="BN176" i="5"/>
  <c r="BT176" i="5" s="1"/>
  <c r="AN176" i="5"/>
  <c r="AD176" i="6" s="1"/>
  <c r="H178" i="5"/>
  <c r="BD144" i="5"/>
  <c r="AX149" i="5"/>
  <c r="AV36" i="5"/>
  <c r="AV63" i="5" s="1"/>
  <c r="AK129" i="5"/>
  <c r="AN129" i="5" s="1"/>
  <c r="AD129" i="6" s="1"/>
  <c r="AK128" i="5"/>
  <c r="AK154" i="5"/>
  <c r="AK159" i="5" s="1"/>
  <c r="AZ128" i="5"/>
  <c r="BP128" i="5" s="1"/>
  <c r="AZ129" i="5"/>
  <c r="AZ63" i="5"/>
  <c r="AF61" i="5"/>
  <c r="AL129" i="5"/>
  <c r="AL128" i="5"/>
  <c r="BT42" i="5"/>
  <c r="BT55" i="5"/>
  <c r="BO61" i="5"/>
  <c r="BO64" i="5" s="1"/>
  <c r="BT80" i="5"/>
  <c r="BN88" i="5"/>
  <c r="BN94" i="5"/>
  <c r="P96" i="5"/>
  <c r="L96" i="6" s="1"/>
  <c r="BN99" i="5"/>
  <c r="BT99" i="5" s="1"/>
  <c r="H99" i="5"/>
  <c r="AV102" i="5"/>
  <c r="W116" i="5"/>
  <c r="G116" i="5"/>
  <c r="BR119" i="5"/>
  <c r="BN124" i="5"/>
  <c r="BT124" i="5" s="1"/>
  <c r="AN128" i="5"/>
  <c r="AD128" i="6" s="1"/>
  <c r="BN199" i="5"/>
  <c r="BT199" i="5" s="1"/>
  <c r="BP207" i="5"/>
  <c r="BN206" i="5"/>
  <c r="BT206" i="5" s="1"/>
  <c r="AV216" i="5"/>
  <c r="AJ216" i="6" s="1"/>
  <c r="P61" i="5"/>
  <c r="AX65" i="5"/>
  <c r="BF146" i="5"/>
  <c r="BL146" i="5" s="1"/>
  <c r="BF145" i="5"/>
  <c r="BF148" i="5"/>
  <c r="BL148" i="5" s="1"/>
  <c r="BF139" i="5"/>
  <c r="BT21" i="5"/>
  <c r="K128" i="5"/>
  <c r="K129" i="5"/>
  <c r="P129" i="5" s="1"/>
  <c r="L129" i="6" s="1"/>
  <c r="AM129" i="5"/>
  <c r="AM128" i="5"/>
  <c r="BB63" i="5"/>
  <c r="BB129" i="5"/>
  <c r="BD129" i="5" s="1"/>
  <c r="AP129" i="6" s="1"/>
  <c r="T65" i="5"/>
  <c r="AK63" i="5"/>
  <c r="BO88" i="5"/>
  <c r="AH109" i="5"/>
  <c r="AH110" i="5" s="1"/>
  <c r="BO94" i="5"/>
  <c r="C109" i="5"/>
  <c r="BH111" i="5"/>
  <c r="Z125" i="5"/>
  <c r="BN123" i="5"/>
  <c r="W132" i="5"/>
  <c r="BT152" i="5"/>
  <c r="BT169" i="5"/>
  <c r="BP181" i="5"/>
  <c r="BT181" i="5" s="1"/>
  <c r="T194" i="5"/>
  <c r="BN184" i="5"/>
  <c r="BT184" i="5" s="1"/>
  <c r="H184" i="5"/>
  <c r="BD207" i="5"/>
  <c r="BQ207" i="5"/>
  <c r="AD116" i="5"/>
  <c r="AT116" i="5"/>
  <c r="BQ125" i="5"/>
  <c r="BP88" i="5"/>
  <c r="BN93" i="5"/>
  <c r="BT120" i="5"/>
  <c r="AF135" i="5"/>
  <c r="X135" i="6" s="1"/>
  <c r="Z141" i="5"/>
  <c r="BQ194" i="5"/>
  <c r="BN183" i="5"/>
  <c r="BT183" i="5" s="1"/>
  <c r="D154" i="5"/>
  <c r="D129" i="5"/>
  <c r="S129" i="5"/>
  <c r="BT57" i="5"/>
  <c r="AI65" i="5"/>
  <c r="BF82" i="5"/>
  <c r="BN76" i="5"/>
  <c r="BT76" i="5" s="1"/>
  <c r="BT86" i="5"/>
  <c r="BD152" i="5"/>
  <c r="AP152" i="6" s="1"/>
  <c r="BQ171" i="5"/>
  <c r="AH17" i="5"/>
  <c r="BD164" i="5"/>
  <c r="AP164" i="6" s="1"/>
  <c r="BD168" i="5"/>
  <c r="AP168" i="6" s="1"/>
  <c r="BD145" i="5"/>
  <c r="AP145" i="6" s="1"/>
  <c r="BT53" i="5"/>
  <c r="AJ65" i="5"/>
  <c r="S116" i="5"/>
  <c r="S65" i="5"/>
  <c r="AX68" i="5"/>
  <c r="AX193" i="5" s="1"/>
  <c r="R109" i="5"/>
  <c r="BT103" i="5"/>
  <c r="AV180" i="5"/>
  <c r="AR194" i="5"/>
  <c r="AV191" i="5"/>
  <c r="AU194" i="5"/>
  <c r="BN201" i="5"/>
  <c r="BT201" i="5" s="1"/>
  <c r="H201" i="5"/>
  <c r="AN216" i="5"/>
  <c r="AD216" i="6" s="1"/>
  <c r="BJ194" i="5"/>
  <c r="BL192" i="5"/>
  <c r="R207" i="5"/>
  <c r="AP125" i="5"/>
  <c r="AP126" i="5" s="1"/>
  <c r="AV162" i="5"/>
  <c r="AJ162" i="6" s="1"/>
  <c r="BN175" i="5"/>
  <c r="BT198" i="5"/>
  <c r="U128" i="5"/>
  <c r="U154" i="5"/>
  <c r="U159" i="5" s="1"/>
  <c r="AN154" i="5"/>
  <c r="AD154" i="6" s="1"/>
  <c r="AI128" i="5"/>
  <c r="AI132" i="5" s="1"/>
  <c r="AS116" i="5"/>
  <c r="BP113" i="5"/>
  <c r="BR123" i="5"/>
  <c r="T129" i="5"/>
  <c r="T132" i="5" s="1"/>
  <c r="BS154" i="5"/>
  <c r="BS159" i="5" s="1"/>
  <c r="W194" i="5"/>
  <c r="BS191" i="5"/>
  <c r="BT191" i="5" s="1"/>
  <c r="Z207" i="5"/>
  <c r="BN202" i="5"/>
  <c r="BT202" i="5" s="1"/>
  <c r="AX154" i="5"/>
  <c r="BD154" i="5" s="1"/>
  <c r="AP154" i="6" s="1"/>
  <c r="AX121" i="5"/>
  <c r="AV77" i="5"/>
  <c r="BN119" i="5"/>
  <c r="BS123" i="5"/>
  <c r="BS125" i="5" s="1"/>
  <c r="U129" i="5"/>
  <c r="BJ129" i="5"/>
  <c r="BJ132" i="5" s="1"/>
  <c r="AV152" i="5"/>
  <c r="AJ152" i="6" s="1"/>
  <c r="BT158" i="5"/>
  <c r="BN162" i="5"/>
  <c r="B171" i="5"/>
  <c r="BR194" i="5"/>
  <c r="BF194" i="5"/>
  <c r="BL183" i="5"/>
  <c r="BT188" i="5"/>
  <c r="X191" i="5"/>
  <c r="AF197" i="5"/>
  <c r="BS207" i="5"/>
  <c r="AV199" i="5"/>
  <c r="AP207" i="5"/>
  <c r="BT190" i="5"/>
  <c r="BT192" i="5"/>
  <c r="BB192" i="6" s="1"/>
  <c r="BS216" i="5"/>
  <c r="BR141" i="5"/>
  <c r="AF140" i="5"/>
  <c r="X140" i="6" s="1"/>
  <c r="BT186" i="5"/>
  <c r="X216" i="5"/>
  <c r="R216" i="6" s="1"/>
  <c r="BT214" i="5"/>
  <c r="BB214" i="6" s="1"/>
  <c r="BR171" i="5"/>
  <c r="BS194" i="5"/>
  <c r="BN179" i="5"/>
  <c r="BT179" i="5" s="1"/>
  <c r="AF216" i="5"/>
  <c r="X216" i="6" s="1"/>
  <c r="BN182" i="5"/>
  <c r="BT182" i="5" s="1"/>
  <c r="BL216" i="5"/>
  <c r="BN216" i="5"/>
  <c r="BT21" i="4"/>
  <c r="AQ116" i="4"/>
  <c r="BR61" i="4"/>
  <c r="BR64" i="4" s="1"/>
  <c r="BT50" i="4"/>
  <c r="BA50" i="6" s="1"/>
  <c r="BO61" i="4"/>
  <c r="BO64" i="4" s="1"/>
  <c r="AP65" i="4"/>
  <c r="AV36" i="4"/>
  <c r="AV63" i="4" s="1"/>
  <c r="AP129" i="4"/>
  <c r="AP125" i="4"/>
  <c r="AP126" i="4" s="1"/>
  <c r="BT49" i="4"/>
  <c r="BT147" i="4"/>
  <c r="AL116" i="4"/>
  <c r="AN164" i="4"/>
  <c r="AH68" i="4"/>
  <c r="AH156" i="4" s="1"/>
  <c r="AN156" i="4" s="1"/>
  <c r="AF123" i="4"/>
  <c r="X61" i="4"/>
  <c r="X64" i="4" s="1"/>
  <c r="BT106" i="4"/>
  <c r="BN199" i="4"/>
  <c r="BT199" i="4" s="1"/>
  <c r="BT169" i="4"/>
  <c r="BT136" i="4"/>
  <c r="K116" i="4"/>
  <c r="H181" i="4"/>
  <c r="BT212" i="4"/>
  <c r="P216" i="4"/>
  <c r="B207" i="4"/>
  <c r="BN197" i="4"/>
  <c r="BT197" i="4" s="1"/>
  <c r="BR110" i="4"/>
  <c r="BN94" i="4"/>
  <c r="L65" i="4"/>
  <c r="P134" i="4"/>
  <c r="P143" i="4"/>
  <c r="P151" i="4" s="1"/>
  <c r="P161" i="4" s="1"/>
  <c r="P173" i="4" s="1"/>
  <c r="P196" i="4" s="1"/>
  <c r="BS65" i="4"/>
  <c r="BT88" i="4"/>
  <c r="BC111" i="4"/>
  <c r="BC65" i="4"/>
  <c r="L132" i="4"/>
  <c r="BN123" i="4"/>
  <c r="H123" i="4"/>
  <c r="AQ65" i="4"/>
  <c r="BO74" i="4"/>
  <c r="BT74" i="4" s="1"/>
  <c r="S65" i="4"/>
  <c r="BD74" i="4"/>
  <c r="AO74" i="6" s="1"/>
  <c r="X174" i="4"/>
  <c r="BN174" i="4"/>
  <c r="AV214" i="4"/>
  <c r="AI214" i="6" s="1"/>
  <c r="G30" i="1" s="1"/>
  <c r="AP216" i="4"/>
  <c r="BN214" i="4"/>
  <c r="BT214" i="4" s="1"/>
  <c r="BA214" i="6" s="1"/>
  <c r="AN36" i="4"/>
  <c r="AN63" i="4" s="1"/>
  <c r="AB65" i="4"/>
  <c r="U65" i="4"/>
  <c r="U132" i="4"/>
  <c r="BD109" i="4"/>
  <c r="AX141" i="4"/>
  <c r="U143" i="4"/>
  <c r="V65" i="4"/>
  <c r="M143" i="4"/>
  <c r="M151" i="4"/>
  <c r="M161" i="4" s="1"/>
  <c r="M173" i="4" s="1"/>
  <c r="M196" i="4" s="1"/>
  <c r="AX125" i="4"/>
  <c r="AX126" i="4" s="1"/>
  <c r="BN120" i="4"/>
  <c r="BT120" i="4" s="1"/>
  <c r="P152" i="4"/>
  <c r="BN152" i="4"/>
  <c r="C82" i="4"/>
  <c r="BN182" i="4"/>
  <c r="BT182" i="4" s="1"/>
  <c r="AV191" i="4"/>
  <c r="F63" i="4"/>
  <c r="F129" i="4"/>
  <c r="F128" i="4"/>
  <c r="O116" i="4"/>
  <c r="BO123" i="4"/>
  <c r="AN177" i="4"/>
  <c r="R65" i="4"/>
  <c r="P94" i="4"/>
  <c r="P36" i="4"/>
  <c r="P63" i="4" s="1"/>
  <c r="AR132" i="4"/>
  <c r="AR65" i="4"/>
  <c r="H74" i="4"/>
  <c r="P108" i="4"/>
  <c r="AA125" i="4"/>
  <c r="AF122" i="4"/>
  <c r="E143" i="4"/>
  <c r="X36" i="4"/>
  <c r="X63" i="4" s="1"/>
  <c r="X65" i="4" s="1"/>
  <c r="BQ111" i="4"/>
  <c r="BQ151" i="4"/>
  <c r="BQ161" i="4" s="1"/>
  <c r="BQ173" i="4" s="1"/>
  <c r="BQ196" i="4" s="1"/>
  <c r="BQ143" i="4"/>
  <c r="AV168" i="4"/>
  <c r="AI168" i="6" s="1"/>
  <c r="AV148" i="4"/>
  <c r="AI148" i="6" s="1"/>
  <c r="AP68" i="4"/>
  <c r="BS111" i="4"/>
  <c r="AF94" i="4"/>
  <c r="Z109" i="4"/>
  <c r="BD36" i="4"/>
  <c r="BD63" i="4" s="1"/>
  <c r="BT48" i="4"/>
  <c r="J61" i="4"/>
  <c r="J64" i="4" s="1"/>
  <c r="P51" i="4"/>
  <c r="J112" i="4"/>
  <c r="P112" i="4" s="1"/>
  <c r="J113" i="4"/>
  <c r="BN51" i="4"/>
  <c r="BT51" i="4" s="1"/>
  <c r="W65" i="4"/>
  <c r="AF81" i="4"/>
  <c r="AB82" i="4"/>
  <c r="AY111" i="4"/>
  <c r="AY116" i="4" s="1"/>
  <c r="BD120" i="4"/>
  <c r="AM132" i="4"/>
  <c r="BF2" i="4"/>
  <c r="BN2" i="4" s="1"/>
  <c r="AX68" i="4"/>
  <c r="BD163" i="4"/>
  <c r="AO163" i="6" s="1"/>
  <c r="J78" i="4"/>
  <c r="BL36" i="4"/>
  <c r="BL63" i="4" s="1"/>
  <c r="BI63" i="4"/>
  <c r="BI65" i="4" s="1"/>
  <c r="BI129" i="4"/>
  <c r="BI128" i="4"/>
  <c r="BT43" i="4"/>
  <c r="BA43" i="6" s="1"/>
  <c r="AF105" i="4"/>
  <c r="BN107" i="4"/>
  <c r="BT107" i="4" s="1"/>
  <c r="F116" i="4"/>
  <c r="V116" i="4"/>
  <c r="H124" i="4"/>
  <c r="BN124" i="4"/>
  <c r="BT124" i="4" s="1"/>
  <c r="BO141" i="4"/>
  <c r="AF152" i="4"/>
  <c r="BN179" i="4"/>
  <c r="BT179" i="4" s="1"/>
  <c r="AV180" i="4"/>
  <c r="AR194" i="4"/>
  <c r="AZ65" i="4"/>
  <c r="AM65" i="4"/>
  <c r="BH109" i="4"/>
  <c r="BL102" i="4"/>
  <c r="BL109" i="4" s="1"/>
  <c r="AN111" i="4"/>
  <c r="C125" i="4"/>
  <c r="AV74" i="4"/>
  <c r="BL77" i="4"/>
  <c r="AU77" i="6" s="1"/>
  <c r="U116" i="4"/>
  <c r="H122" i="4"/>
  <c r="AC151" i="4"/>
  <c r="AC161" i="4" s="1"/>
  <c r="AC173" i="4" s="1"/>
  <c r="AC196" i="4" s="1"/>
  <c r="AC143" i="4"/>
  <c r="BO36" i="4"/>
  <c r="BO63" i="4" s="1"/>
  <c r="BO65" i="4" s="1"/>
  <c r="BO73" i="4"/>
  <c r="BT73" i="4" s="1"/>
  <c r="BA73" i="6" s="1"/>
  <c r="AA82" i="4"/>
  <c r="R109" i="4"/>
  <c r="R110" i="4" s="1"/>
  <c r="AK116" i="4"/>
  <c r="AK209" i="4" s="1"/>
  <c r="AK218" i="4" s="1"/>
  <c r="AK143" i="4"/>
  <c r="AK151" i="4"/>
  <c r="AK161" i="4" s="1"/>
  <c r="AK173" i="4" s="1"/>
  <c r="AK196" i="4" s="1"/>
  <c r="BN24" i="4"/>
  <c r="BT24" i="4" s="1"/>
  <c r="BA24" i="6" s="1"/>
  <c r="P24" i="4"/>
  <c r="AU63" i="4"/>
  <c r="AU128" i="4"/>
  <c r="AU129" i="4"/>
  <c r="BJ129" i="4"/>
  <c r="BJ63" i="4"/>
  <c r="BJ65" i="4" s="1"/>
  <c r="BJ128" i="4"/>
  <c r="BD61" i="4"/>
  <c r="BS110" i="4"/>
  <c r="G116" i="4"/>
  <c r="BQ110" i="4"/>
  <c r="P119" i="4"/>
  <c r="BN119" i="4"/>
  <c r="V132" i="4"/>
  <c r="BS207" i="4"/>
  <c r="X200" i="4"/>
  <c r="X207" i="4" s="1"/>
  <c r="BN200" i="4"/>
  <c r="BT200" i="4" s="1"/>
  <c r="AV202" i="4"/>
  <c r="AV207" i="4" s="1"/>
  <c r="AP207" i="4"/>
  <c r="BN7" i="4"/>
  <c r="BA7" i="6" s="1"/>
  <c r="J3" i="4"/>
  <c r="BF138" i="4"/>
  <c r="BF146" i="4"/>
  <c r="BL146" i="4" s="1"/>
  <c r="BF145" i="4"/>
  <c r="BF148" i="4"/>
  <c r="BL148" i="4" s="1"/>
  <c r="BF139" i="4"/>
  <c r="S128" i="4"/>
  <c r="X128" i="4" s="1"/>
  <c r="AN154" i="4"/>
  <c r="AH63" i="4"/>
  <c r="AH128" i="4"/>
  <c r="AH129" i="4"/>
  <c r="BK129" i="4"/>
  <c r="BK128" i="4"/>
  <c r="BL61" i="4"/>
  <c r="AV61" i="4"/>
  <c r="AF61" i="4"/>
  <c r="AF64" i="4" s="1"/>
  <c r="AF65" i="4" s="1"/>
  <c r="BQ82" i="4"/>
  <c r="BO103" i="4"/>
  <c r="AA109" i="4"/>
  <c r="H104" i="4"/>
  <c r="BT104" i="4"/>
  <c r="R125" i="4"/>
  <c r="K141" i="4"/>
  <c r="P140" i="4"/>
  <c r="R3" i="4"/>
  <c r="R17" i="4"/>
  <c r="D154" i="4"/>
  <c r="D128" i="4"/>
  <c r="D129" i="4"/>
  <c r="D63" i="4"/>
  <c r="T154" i="4"/>
  <c r="T159" i="4" s="1"/>
  <c r="T128" i="4"/>
  <c r="T63" i="4"/>
  <c r="AI128" i="4"/>
  <c r="AI129" i="4"/>
  <c r="AI63" i="4"/>
  <c r="AX129" i="4"/>
  <c r="BD129" i="4" s="1"/>
  <c r="AO129" i="6" s="1"/>
  <c r="AX128" i="4"/>
  <c r="BD128" i="4" s="1"/>
  <c r="AO128" i="6" s="1"/>
  <c r="AX121" i="4"/>
  <c r="BD121" i="4" s="1"/>
  <c r="AX63" i="4"/>
  <c r="AX127" i="4" s="1"/>
  <c r="BT39" i="4"/>
  <c r="C65" i="4"/>
  <c r="BR82" i="4"/>
  <c r="BN69" i="4"/>
  <c r="BT69" i="4" s="1"/>
  <c r="H80" i="4"/>
  <c r="BP80" i="4"/>
  <c r="BA151" i="4"/>
  <c r="BA161" i="4" s="1"/>
  <c r="BA173" i="4" s="1"/>
  <c r="BA196" i="4" s="1"/>
  <c r="BA143" i="4"/>
  <c r="X109" i="4"/>
  <c r="P96" i="4"/>
  <c r="BN96" i="4"/>
  <c r="BT96" i="4" s="1"/>
  <c r="AV102" i="4"/>
  <c r="AV109" i="4" s="1"/>
  <c r="AF103" i="4"/>
  <c r="X119" i="4"/>
  <c r="W125" i="4"/>
  <c r="BS126" i="4" s="1"/>
  <c r="BS123" i="4"/>
  <c r="BS125" i="4" s="1"/>
  <c r="AV123" i="4"/>
  <c r="AI123" i="6" s="1"/>
  <c r="S141" i="4"/>
  <c r="X140" i="4"/>
  <c r="BN163" i="4"/>
  <c r="BT163" i="4" s="1"/>
  <c r="BA163" i="6" s="1"/>
  <c r="X163" i="4"/>
  <c r="BK209" i="4"/>
  <c r="BK218" i="4" s="1"/>
  <c r="B3" i="4"/>
  <c r="B17" i="4"/>
  <c r="BN8" i="4"/>
  <c r="E154" i="4"/>
  <c r="E128" i="4"/>
  <c r="E129" i="4"/>
  <c r="E63" i="4"/>
  <c r="U128" i="4"/>
  <c r="U129" i="4"/>
  <c r="U154" i="4"/>
  <c r="U159" i="4" s="1"/>
  <c r="BT60" i="4"/>
  <c r="AE116" i="4"/>
  <c r="BI151" i="4"/>
  <c r="BI161" i="4" s="1"/>
  <c r="BI173" i="4" s="1"/>
  <c r="BI196" i="4" s="1"/>
  <c r="BI143" i="4"/>
  <c r="BN103" i="4"/>
  <c r="AN103" i="4"/>
  <c r="H112" i="4"/>
  <c r="X112" i="4"/>
  <c r="AN112" i="4"/>
  <c r="AV112" i="4"/>
  <c r="Z125" i="4"/>
  <c r="BD123" i="4"/>
  <c r="AO123" i="6" s="1"/>
  <c r="BC132" i="4"/>
  <c r="BC209" i="4" s="1"/>
  <c r="BC218" i="4" s="1"/>
  <c r="S129" i="4"/>
  <c r="AN162" i="4"/>
  <c r="AS143" i="4"/>
  <c r="AS151" i="4"/>
  <c r="AS161" i="4" s="1"/>
  <c r="AS173" i="4" s="1"/>
  <c r="AS196" i="4" s="1"/>
  <c r="BN36" i="4"/>
  <c r="BN63" i="4" s="1"/>
  <c r="BA128" i="4"/>
  <c r="BA129" i="4"/>
  <c r="BR112" i="4"/>
  <c r="BB132" i="4"/>
  <c r="BB209" i="4" s="1"/>
  <c r="BB218" i="4" s="1"/>
  <c r="BR194" i="4"/>
  <c r="BN98" i="4"/>
  <c r="BT98" i="4" s="1"/>
  <c r="AZ116" i="4"/>
  <c r="BO113" i="4"/>
  <c r="AH125" i="4"/>
  <c r="BI126" i="4"/>
  <c r="BI127" i="4"/>
  <c r="BQ141" i="4"/>
  <c r="AF140" i="4"/>
  <c r="BL171" i="4"/>
  <c r="BP36" i="4"/>
  <c r="BP63" i="4" s="1"/>
  <c r="BP65" i="4" s="1"/>
  <c r="BQ61" i="4"/>
  <c r="BQ64" i="4" s="1"/>
  <c r="BT45" i="4"/>
  <c r="G65" i="4"/>
  <c r="B116" i="4"/>
  <c r="BP81" i="4"/>
  <c r="BT81" i="4" s="1"/>
  <c r="H81" i="4"/>
  <c r="BN88" i="4"/>
  <c r="BS109" i="4"/>
  <c r="AN97" i="4"/>
  <c r="H98" i="4"/>
  <c r="H109" i="4" s="1"/>
  <c r="BF109" i="4"/>
  <c r="BB116" i="4"/>
  <c r="BG111" i="4"/>
  <c r="BG116" i="4" s="1"/>
  <c r="BG209" i="4" s="1"/>
  <c r="BG218" i="4" s="1"/>
  <c r="AN113" i="4"/>
  <c r="AN119" i="4"/>
  <c r="C129" i="4"/>
  <c r="H129" i="4" s="1"/>
  <c r="BO171" i="4"/>
  <c r="P205" i="4"/>
  <c r="AX116" i="4"/>
  <c r="BD110" i="4"/>
  <c r="BQ112" i="4"/>
  <c r="BN205" i="4"/>
  <c r="BT205" i="4" s="1"/>
  <c r="K129" i="4"/>
  <c r="K128" i="4"/>
  <c r="K63" i="4"/>
  <c r="BT77" i="4"/>
  <c r="BA77" i="6" s="1"/>
  <c r="G11" i="1" s="1"/>
  <c r="BQ109" i="4"/>
  <c r="AF119" i="4"/>
  <c r="H205" i="4"/>
  <c r="Z65" i="4"/>
  <c r="AQ129" i="4"/>
  <c r="AQ128" i="4"/>
  <c r="AV128" i="4" s="1"/>
  <c r="AI128" i="6" s="1"/>
  <c r="BA63" i="4"/>
  <c r="BT131" i="4"/>
  <c r="BT137" i="4"/>
  <c r="BA137" i="6" s="1"/>
  <c r="BR154" i="4"/>
  <c r="BR159" i="4" s="1"/>
  <c r="N159" i="4"/>
  <c r="BN9" i="4"/>
  <c r="H36" i="4"/>
  <c r="H63" i="4" s="1"/>
  <c r="H65" i="4" s="1"/>
  <c r="L109" i="4"/>
  <c r="AI116" i="4"/>
  <c r="BR113" i="4"/>
  <c r="BG132" i="4"/>
  <c r="BT33" i="4"/>
  <c r="B63" i="4"/>
  <c r="AD129" i="4"/>
  <c r="AD128" i="4"/>
  <c r="AD63" i="4"/>
  <c r="AS154" i="4"/>
  <c r="AS159" i="4" s="1"/>
  <c r="AS129" i="4"/>
  <c r="AS63" i="4"/>
  <c r="AS128" i="4"/>
  <c r="BG128" i="4"/>
  <c r="BG129" i="4"/>
  <c r="AJ65" i="4"/>
  <c r="BN70" i="4"/>
  <c r="BT70" i="4" s="1"/>
  <c r="BO94" i="4"/>
  <c r="C109" i="4"/>
  <c r="BN100" i="4"/>
  <c r="BT100" i="4" s="1"/>
  <c r="M116" i="4"/>
  <c r="AT116" i="4"/>
  <c r="BI111" i="4"/>
  <c r="N116" i="4"/>
  <c r="BS113" i="4"/>
  <c r="BR123" i="4"/>
  <c r="BR125" i="4" s="1"/>
  <c r="BH126" i="4"/>
  <c r="BD144" i="4"/>
  <c r="BO154" i="4"/>
  <c r="BD207" i="4"/>
  <c r="BR77" i="4"/>
  <c r="BP102" i="4"/>
  <c r="BP109" i="4" s="1"/>
  <c r="D109" i="4"/>
  <c r="AM116" i="4"/>
  <c r="AN146" i="4"/>
  <c r="AN178" i="4"/>
  <c r="AN168" i="4"/>
  <c r="AN145" i="4"/>
  <c r="BQ36" i="4"/>
  <c r="BQ63" i="4" s="1"/>
  <c r="BQ65" i="4" s="1"/>
  <c r="AB154" i="4"/>
  <c r="AB159" i="4" s="1"/>
  <c r="AB129" i="4"/>
  <c r="AF129" i="4" s="1"/>
  <c r="AB128" i="4"/>
  <c r="AB132" i="4" s="1"/>
  <c r="BR111" i="4"/>
  <c r="BC116" i="4"/>
  <c r="BK132" i="4"/>
  <c r="BN183" i="4"/>
  <c r="BT183" i="4" s="1"/>
  <c r="H183" i="4"/>
  <c r="AF148" i="4"/>
  <c r="AF145" i="4"/>
  <c r="AF146" i="4"/>
  <c r="Z68" i="4"/>
  <c r="BR36" i="4"/>
  <c r="BR63" i="4" s="1"/>
  <c r="O63" i="4"/>
  <c r="O129" i="4"/>
  <c r="AC154" i="4"/>
  <c r="AC159" i="4" s="1"/>
  <c r="AC128" i="4"/>
  <c r="AC63" i="4"/>
  <c r="BF129" i="4"/>
  <c r="BF128" i="4"/>
  <c r="BL128" i="4" s="1"/>
  <c r="AU128" i="6" s="1"/>
  <c r="P61" i="4"/>
  <c r="P64" i="4" s="1"/>
  <c r="BB65" i="4"/>
  <c r="BT27" i="4"/>
  <c r="BT29" i="4"/>
  <c r="AE63" i="4"/>
  <c r="AE128" i="4"/>
  <c r="AT129" i="4"/>
  <c r="AT63" i="4"/>
  <c r="AT128" i="4"/>
  <c r="BH63" i="4"/>
  <c r="BH65" i="4" s="1"/>
  <c r="BH129" i="4"/>
  <c r="N63" i="4"/>
  <c r="AK65" i="4"/>
  <c r="BF63" i="4"/>
  <c r="BF65" i="4" s="1"/>
  <c r="BT76" i="4"/>
  <c r="BR88" i="4"/>
  <c r="BT86" i="4"/>
  <c r="AP109" i="4"/>
  <c r="AF102" i="4"/>
  <c r="AB109" i="4"/>
  <c r="X121" i="4"/>
  <c r="BJ126" i="4"/>
  <c r="BK127" i="4"/>
  <c r="AR154" i="4"/>
  <c r="AR159" i="4" s="1"/>
  <c r="BT167" i="4"/>
  <c r="BA167" i="6" s="1"/>
  <c r="AJ116" i="4"/>
  <c r="AJ209" i="4" s="1"/>
  <c r="AJ218" i="4" s="1"/>
  <c r="BD141" i="4"/>
  <c r="AO141" i="6" s="1"/>
  <c r="BN162" i="4"/>
  <c r="BO194" i="4"/>
  <c r="BO207" i="4"/>
  <c r="BT213" i="4"/>
  <c r="BA213" i="6" s="1"/>
  <c r="BT22" i="4"/>
  <c r="G129" i="4"/>
  <c r="G128" i="4"/>
  <c r="BS128" i="4" s="1"/>
  <c r="AN61" i="4"/>
  <c r="AN64" i="4" s="1"/>
  <c r="BT47" i="4"/>
  <c r="AY65" i="4"/>
  <c r="BN93" i="4"/>
  <c r="BA116" i="4"/>
  <c r="BF125" i="4"/>
  <c r="BL119" i="4"/>
  <c r="AZ132" i="4"/>
  <c r="AZ209" i="4" s="1"/>
  <c r="AZ218" i="4" s="1"/>
  <c r="BS154" i="4"/>
  <c r="BS159" i="4" s="1"/>
  <c r="BN166" i="4"/>
  <c r="BT166" i="4" s="1"/>
  <c r="BD175" i="4"/>
  <c r="P207" i="4"/>
  <c r="BP207" i="4"/>
  <c r="BT198" i="4"/>
  <c r="AF199" i="4"/>
  <c r="AF207" i="4" s="1"/>
  <c r="Z207" i="4"/>
  <c r="P154" i="4"/>
  <c r="J129" i="4"/>
  <c r="J128" i="4"/>
  <c r="M65" i="4"/>
  <c r="M132" i="4"/>
  <c r="AR82" i="4"/>
  <c r="BD88" i="4"/>
  <c r="BR109" i="4"/>
  <c r="E116" i="4"/>
  <c r="T116" i="4"/>
  <c r="P121" i="4"/>
  <c r="AY125" i="4"/>
  <c r="BD122" i="4"/>
  <c r="AN123" i="4"/>
  <c r="AK154" i="4"/>
  <c r="AK159" i="4" s="1"/>
  <c r="BQ194" i="4"/>
  <c r="R207" i="4"/>
  <c r="H216" i="4"/>
  <c r="E216" i="6" s="1"/>
  <c r="BR216" i="4"/>
  <c r="AA65" i="4"/>
  <c r="AL132" i="4"/>
  <c r="AL209" i="4" s="1"/>
  <c r="AL218" i="4" s="1"/>
  <c r="BN135" i="4"/>
  <c r="BN165" i="4"/>
  <c r="BT165" i="4" s="1"/>
  <c r="BN177" i="4"/>
  <c r="BT177" i="4" s="1"/>
  <c r="H177" i="4"/>
  <c r="BT180" i="4"/>
  <c r="BT188" i="4"/>
  <c r="BN201" i="4"/>
  <c r="BT201" i="4" s="1"/>
  <c r="H201" i="4"/>
  <c r="H207" i="4" s="1"/>
  <c r="AV216" i="4"/>
  <c r="AI216" i="6" s="1"/>
  <c r="AQ141" i="4"/>
  <c r="AV140" i="4"/>
  <c r="BN175" i="4"/>
  <c r="BT175" i="4" s="1"/>
  <c r="H175" i="4"/>
  <c r="BP180" i="4"/>
  <c r="BJ194" i="4"/>
  <c r="BL192" i="4"/>
  <c r="BL194" i="4" s="1"/>
  <c r="AU194" i="6" s="1"/>
  <c r="AN207" i="4"/>
  <c r="J17" i="4"/>
  <c r="L154" i="4"/>
  <c r="L159" i="4" s="1"/>
  <c r="L128" i="4"/>
  <c r="BL82" i="4"/>
  <c r="AU82" i="6" s="1"/>
  <c r="BO112" i="4"/>
  <c r="H180" i="4"/>
  <c r="AN181" i="4"/>
  <c r="BN185" i="4"/>
  <c r="BT185" i="4" s="1"/>
  <c r="BA185" i="6" s="1"/>
  <c r="X191" i="4"/>
  <c r="BD145" i="4"/>
  <c r="AO145" i="6" s="1"/>
  <c r="BD164" i="4"/>
  <c r="AO164" i="6" s="1"/>
  <c r="L222" i="4"/>
  <c r="AN102" i="4"/>
  <c r="H113" i="4"/>
  <c r="H119" i="4"/>
  <c r="X135" i="4"/>
  <c r="X152" i="4"/>
  <c r="BL216" i="4"/>
  <c r="BT140" i="4"/>
  <c r="BQ171" i="4"/>
  <c r="BP181" i="4"/>
  <c r="BT181" i="4" s="1"/>
  <c r="BR141" i="4"/>
  <c r="BN202" i="4"/>
  <c r="BT202" i="4" s="1"/>
  <c r="BN206" i="4"/>
  <c r="BT206" i="4" s="1"/>
  <c r="X216" i="4"/>
  <c r="Q216" i="6" s="1"/>
  <c r="BS141" i="4"/>
  <c r="BS191" i="4"/>
  <c r="BT191" i="4" s="1"/>
  <c r="G194" i="4"/>
  <c r="Z99" i="15"/>
  <c r="Z98" i="15"/>
  <c r="Z95" i="15"/>
  <c r="Z94" i="15"/>
  <c r="Z93" i="15"/>
  <c r="Z71" i="15"/>
  <c r="Z70" i="15"/>
  <c r="Z69" i="15"/>
  <c r="Z69" i="14"/>
  <c r="Z70" i="14"/>
  <c r="Z71" i="14"/>
  <c r="AA74" i="14"/>
  <c r="BD64" i="5" l="1"/>
  <c r="AP61" i="6"/>
  <c r="BD116" i="5"/>
  <c r="AP116" i="6" s="1"/>
  <c r="AP111" i="6"/>
  <c r="BD64" i="4"/>
  <c r="AO64" i="6" s="1"/>
  <c r="AO61" i="6"/>
  <c r="BD65" i="4"/>
  <c r="AO65" i="6" s="1"/>
  <c r="BN130" i="4"/>
  <c r="BT130" i="4" s="1"/>
  <c r="BA130" i="6" s="1"/>
  <c r="BD130" i="4"/>
  <c r="AO130" i="6" s="1"/>
  <c r="BD149" i="4"/>
  <c r="AO149" i="6" s="1"/>
  <c r="AO144" i="6"/>
  <c r="AV64" i="4"/>
  <c r="AI64" i="6" s="1"/>
  <c r="AI61" i="6"/>
  <c r="AP127" i="4"/>
  <c r="AV64" i="5"/>
  <c r="AJ64" i="6" s="1"/>
  <c r="AJ61" i="6"/>
  <c r="AP127" i="5"/>
  <c r="AP132" i="5" s="1"/>
  <c r="BL129" i="5"/>
  <c r="AV129" i="6" s="1"/>
  <c r="BL64" i="5"/>
  <c r="AV64" i="6" s="1"/>
  <c r="AV61" i="6"/>
  <c r="BL64" i="4"/>
  <c r="AU64" i="6" s="1"/>
  <c r="AU61" i="6"/>
  <c r="BF127" i="4"/>
  <c r="BF126" i="4"/>
  <c r="BL125" i="4"/>
  <c r="AU125" i="6" s="1"/>
  <c r="AU119" i="6"/>
  <c r="AV141" i="5"/>
  <c r="AJ141" i="6" s="1"/>
  <c r="AJ138" i="6"/>
  <c r="E57" i="18"/>
  <c r="F56" i="18"/>
  <c r="BL194" i="5"/>
  <c r="AV194" i="6" s="1"/>
  <c r="AV183" i="6"/>
  <c r="BJ209" i="5"/>
  <c r="BJ218" i="5" s="1"/>
  <c r="BL125" i="5"/>
  <c r="AV125" i="6" s="1"/>
  <c r="AV119" i="6"/>
  <c r="BL109" i="5"/>
  <c r="AV109" i="6" s="1"/>
  <c r="AV94" i="6"/>
  <c r="BD149" i="5"/>
  <c r="AP149" i="6" s="1"/>
  <c r="AP144" i="6"/>
  <c r="BD141" i="5"/>
  <c r="AP141" i="6" s="1"/>
  <c r="AP135" i="6"/>
  <c r="AV207" i="5"/>
  <c r="AJ207" i="6" s="1"/>
  <c r="AJ199" i="6"/>
  <c r="AT209" i="5"/>
  <c r="AT218" i="5" s="1"/>
  <c r="AP141" i="5"/>
  <c r="AH126" i="5"/>
  <c r="AH127" i="5"/>
  <c r="AN64" i="5"/>
  <c r="AD61" i="6"/>
  <c r="AH111" i="5"/>
  <c r="AN125" i="5"/>
  <c r="AD125" i="6" s="1"/>
  <c r="AM209" i="5"/>
  <c r="AM218" i="5" s="1"/>
  <c r="AF207" i="5"/>
  <c r="X207" i="6" s="1"/>
  <c r="X197" i="6"/>
  <c r="AF109" i="5"/>
  <c r="X109" i="6" s="1"/>
  <c r="AF111" i="5"/>
  <c r="X111" i="6" s="1"/>
  <c r="AF64" i="5"/>
  <c r="X64" i="6" s="1"/>
  <c r="X61" i="6"/>
  <c r="X64" i="5"/>
  <c r="R61" i="6"/>
  <c r="X141" i="5"/>
  <c r="R141" i="6" s="1"/>
  <c r="R138" i="6"/>
  <c r="V209" i="5"/>
  <c r="V218" i="5" s="1"/>
  <c r="W209" i="5"/>
  <c r="W218" i="5" s="1"/>
  <c r="X109" i="5"/>
  <c r="R109" i="6" s="1"/>
  <c r="R102" i="6"/>
  <c r="R116" i="5"/>
  <c r="J126" i="5"/>
  <c r="J132" i="5" s="1"/>
  <c r="J127" i="5"/>
  <c r="BN65" i="5"/>
  <c r="P64" i="5"/>
  <c r="L61" i="6"/>
  <c r="P207" i="5"/>
  <c r="L207" i="6" s="1"/>
  <c r="L197" i="6"/>
  <c r="BR116" i="5"/>
  <c r="BO109" i="5"/>
  <c r="H65" i="5"/>
  <c r="F65" i="6" s="1"/>
  <c r="H64" i="5"/>
  <c r="F64" i="6" s="1"/>
  <c r="F61" i="6"/>
  <c r="BO141" i="5"/>
  <c r="BP109" i="5"/>
  <c r="AJ209" i="5"/>
  <c r="AK209" i="5"/>
  <c r="AK218" i="5" s="1"/>
  <c r="AU209" i="5"/>
  <c r="AU218" i="5" s="1"/>
  <c r="P101" i="5"/>
  <c r="BN101" i="5"/>
  <c r="BT101" i="5" s="1"/>
  <c r="D159" i="5"/>
  <c r="BP154" i="5"/>
  <c r="BP159" i="5" s="1"/>
  <c r="H193" i="5"/>
  <c r="X121" i="5"/>
  <c r="R125" i="5"/>
  <c r="R126" i="5" s="1"/>
  <c r="X178" i="5"/>
  <c r="R178" i="6" s="1"/>
  <c r="BN154" i="5"/>
  <c r="H154" i="5"/>
  <c r="B159" i="5"/>
  <c r="AA65" i="5"/>
  <c r="H153" i="5"/>
  <c r="C159" i="5"/>
  <c r="BB132" i="5"/>
  <c r="BB209" i="5" s="1"/>
  <c r="BB218" i="5" s="1"/>
  <c r="BB65" i="5"/>
  <c r="H125" i="5"/>
  <c r="F125" i="6" s="1"/>
  <c r="BD128" i="5"/>
  <c r="AP128" i="6" s="1"/>
  <c r="AE132" i="5"/>
  <c r="AE209" i="5" s="1"/>
  <c r="AE218" i="5" s="1"/>
  <c r="AE65" i="5"/>
  <c r="AN127" i="5"/>
  <c r="AD127" i="6" s="1"/>
  <c r="H121" i="5"/>
  <c r="BN121" i="5"/>
  <c r="BT121" i="5" s="1"/>
  <c r="BB121" i="6" s="1"/>
  <c r="M65" i="5"/>
  <c r="AX157" i="5"/>
  <c r="BD157" i="5" s="1"/>
  <c r="AP157" i="6" s="1"/>
  <c r="AX170" i="5"/>
  <c r="AX156" i="5"/>
  <c r="BD156" i="5" s="1"/>
  <c r="AP156" i="6" s="1"/>
  <c r="BD68" i="5"/>
  <c r="AX82" i="5"/>
  <c r="BH116" i="5"/>
  <c r="AP149" i="5"/>
  <c r="AV144" i="5"/>
  <c r="BT113" i="5"/>
  <c r="X129" i="5"/>
  <c r="R129" i="6" s="1"/>
  <c r="BN17" i="5"/>
  <c r="BB17" i="6" s="1"/>
  <c r="H5" i="1" s="1"/>
  <c r="H148" i="5"/>
  <c r="BN148" i="5"/>
  <c r="BT148" i="5" s="1"/>
  <c r="BB148" i="6" s="1"/>
  <c r="P78" i="5"/>
  <c r="L78" i="6" s="1"/>
  <c r="BN78" i="5"/>
  <c r="BT78" i="5" s="1"/>
  <c r="BB78" i="6" s="1"/>
  <c r="H12" i="1" s="1"/>
  <c r="BF132" i="5"/>
  <c r="R193" i="5"/>
  <c r="X193" i="5" s="1"/>
  <c r="R157" i="5"/>
  <c r="X157" i="5" s="1"/>
  <c r="R170" i="5"/>
  <c r="X170" i="5" s="1"/>
  <c r="X171" i="5" s="1"/>
  <c r="R171" i="6" s="1"/>
  <c r="R156" i="5"/>
  <c r="X156" i="5" s="1"/>
  <c r="R82" i="5"/>
  <c r="X68" i="5"/>
  <c r="X82" i="5" s="1"/>
  <c r="R82" i="6" s="1"/>
  <c r="BS127" i="5"/>
  <c r="BP65" i="5"/>
  <c r="O132" i="5"/>
  <c r="O209" i="5" s="1"/>
  <c r="O218" i="5" s="1"/>
  <c r="O65" i="5"/>
  <c r="BL128" i="5"/>
  <c r="AV128" i="6" s="1"/>
  <c r="L65" i="5"/>
  <c r="BC132" i="5"/>
  <c r="BC209" i="5" s="1"/>
  <c r="BC218" i="5" s="1"/>
  <c r="BC65" i="5"/>
  <c r="AU132" i="5"/>
  <c r="BS126" i="5"/>
  <c r="H164" i="5"/>
  <c r="H171" i="5" s="1"/>
  <c r="BQ154" i="5"/>
  <c r="BQ159" i="5" s="1"/>
  <c r="AV65" i="5"/>
  <c r="AJ65" i="6" s="1"/>
  <c r="AQ65" i="5"/>
  <c r="T116" i="5"/>
  <c r="T209" i="5" s="1"/>
  <c r="T218" i="5" s="1"/>
  <c r="AV111" i="5"/>
  <c r="AJ111" i="6" s="1"/>
  <c r="AP156" i="5"/>
  <c r="AP82" i="5"/>
  <c r="AV68" i="5"/>
  <c r="AP170" i="5"/>
  <c r="AV170" i="5" s="1"/>
  <c r="AP157" i="5"/>
  <c r="AV157" i="5" s="1"/>
  <c r="AJ157" i="6" s="1"/>
  <c r="BT197" i="5"/>
  <c r="BT207" i="5" s="1"/>
  <c r="BN207" i="5"/>
  <c r="BO65" i="5"/>
  <c r="Z65" i="5"/>
  <c r="L116" i="5"/>
  <c r="AV129" i="5"/>
  <c r="AJ129" i="6" s="1"/>
  <c r="U209" i="5"/>
  <c r="U218" i="5" s="1"/>
  <c r="AR209" i="5"/>
  <c r="AR218" i="5" s="1"/>
  <c r="AF141" i="5"/>
  <c r="X141" i="6" s="1"/>
  <c r="BO122" i="5"/>
  <c r="P122" i="5"/>
  <c r="L122" i="6" s="1"/>
  <c r="K125" i="5"/>
  <c r="BT61" i="5"/>
  <c r="P154" i="5"/>
  <c r="L154" i="6" s="1"/>
  <c r="N132" i="5"/>
  <c r="N209" i="5" s="1"/>
  <c r="N218" i="5" s="1"/>
  <c r="N65" i="5"/>
  <c r="AP116" i="5"/>
  <c r="BT81" i="5"/>
  <c r="AP65" i="5"/>
  <c r="AJ218" i="5"/>
  <c r="AQ125" i="5"/>
  <c r="AV122" i="5"/>
  <c r="AJ122" i="6" s="1"/>
  <c r="BL111" i="5"/>
  <c r="AV111" i="6" s="1"/>
  <c r="AC132" i="5"/>
  <c r="AC209" i="5" s="1"/>
  <c r="AC218" i="5" s="1"/>
  <c r="AC65" i="5"/>
  <c r="AV125" i="5"/>
  <c r="AJ125" i="6" s="1"/>
  <c r="AF129" i="5"/>
  <c r="X129" i="6" s="1"/>
  <c r="Z116" i="5"/>
  <c r="H109" i="5"/>
  <c r="BP194" i="5"/>
  <c r="BR129" i="5"/>
  <c r="P148" i="5"/>
  <c r="L148" i="6" s="1"/>
  <c r="J68" i="5"/>
  <c r="L17" i="5"/>
  <c r="BH209" i="5"/>
  <c r="BH218" i="5" s="1"/>
  <c r="AB132" i="5"/>
  <c r="AB209" i="5" s="1"/>
  <c r="AB218" i="5" s="1"/>
  <c r="AB65" i="5"/>
  <c r="AV128" i="5"/>
  <c r="AJ128" i="6" s="1"/>
  <c r="AF154" i="5"/>
  <c r="X154" i="6" s="1"/>
  <c r="BQ110" i="5"/>
  <c r="BQ116" i="5" s="1"/>
  <c r="BT123" i="5"/>
  <c r="BB123" i="6" s="1"/>
  <c r="AK132" i="5"/>
  <c r="AK65" i="5"/>
  <c r="BN139" i="5"/>
  <c r="BT139" i="5" s="1"/>
  <c r="BL139" i="5"/>
  <c r="BL141" i="5" s="1"/>
  <c r="BO111" i="5"/>
  <c r="AQ159" i="5"/>
  <c r="AV153" i="5"/>
  <c r="AJ153" i="6" s="1"/>
  <c r="H156" i="5"/>
  <c r="BO129" i="5"/>
  <c r="BN71" i="5"/>
  <c r="BT71" i="5" s="1"/>
  <c r="BB71" i="6" s="1"/>
  <c r="H128" i="5"/>
  <c r="F128" i="6" s="1"/>
  <c r="BN128" i="5"/>
  <c r="BT128" i="5" s="1"/>
  <c r="BB128" i="6" s="1"/>
  <c r="BT216" i="5"/>
  <c r="BB216" i="6" s="1"/>
  <c r="AV154" i="5"/>
  <c r="AJ154" i="6" s="1"/>
  <c r="AN111" i="5"/>
  <c r="AD111" i="6" s="1"/>
  <c r="AF128" i="5"/>
  <c r="X128" i="6" s="1"/>
  <c r="BD121" i="5"/>
  <c r="BD125" i="5" s="1"/>
  <c r="AP125" i="6" s="1"/>
  <c r="AX125" i="5"/>
  <c r="BT93" i="5"/>
  <c r="R65" i="5"/>
  <c r="B194" i="5"/>
  <c r="AY132" i="5"/>
  <c r="AY209" i="5" s="1"/>
  <c r="AY218" i="5" s="1"/>
  <c r="AY65" i="5"/>
  <c r="BT36" i="5"/>
  <c r="BT63" i="5" s="1"/>
  <c r="X154" i="5"/>
  <c r="R154" i="6" s="1"/>
  <c r="AN110" i="5"/>
  <c r="Z156" i="5"/>
  <c r="AF156" i="5" s="1"/>
  <c r="Z170" i="5"/>
  <c r="AF170" i="5" s="1"/>
  <c r="Z82" i="5"/>
  <c r="AF193" i="5"/>
  <c r="Z157" i="5"/>
  <c r="AF157" i="5" s="1"/>
  <c r="AF68" i="5"/>
  <c r="AF82" i="5" s="1"/>
  <c r="X82" i="6" s="1"/>
  <c r="P128" i="5"/>
  <c r="L128" i="6" s="1"/>
  <c r="P125" i="5"/>
  <c r="L125" i="6" s="1"/>
  <c r="AV109" i="5"/>
  <c r="D116" i="5"/>
  <c r="D209" i="5" s="1"/>
  <c r="D218" i="5" s="1"/>
  <c r="BP110" i="5"/>
  <c r="BT119" i="5"/>
  <c r="BB119" i="6" s="1"/>
  <c r="BT175" i="5"/>
  <c r="AZ132" i="5"/>
  <c r="AZ209" i="5" s="1"/>
  <c r="AZ218" i="5" s="1"/>
  <c r="AZ65" i="5"/>
  <c r="R141" i="5"/>
  <c r="H170" i="5"/>
  <c r="X128" i="5"/>
  <c r="R128" i="6" s="1"/>
  <c r="R149" i="5"/>
  <c r="X144" i="5"/>
  <c r="B65" i="5"/>
  <c r="J109" i="5"/>
  <c r="AA125" i="5"/>
  <c r="AF122" i="5"/>
  <c r="AA159" i="5"/>
  <c r="AF153" i="5"/>
  <c r="X153" i="6" s="1"/>
  <c r="BN155" i="5"/>
  <c r="BT155" i="5" s="1"/>
  <c r="BB155" i="6" s="1"/>
  <c r="BD155" i="5"/>
  <c r="AP155" i="6" s="1"/>
  <c r="Z171" i="5"/>
  <c r="AF164" i="5"/>
  <c r="BS116" i="5"/>
  <c r="BT162" i="5"/>
  <c r="H144" i="5"/>
  <c r="B149" i="5"/>
  <c r="BL65" i="5"/>
  <c r="AV65" i="6" s="1"/>
  <c r="BO110" i="5"/>
  <c r="BR125" i="5"/>
  <c r="AH68" i="5"/>
  <c r="AN168" i="5"/>
  <c r="AD168" i="6" s="1"/>
  <c r="AN145" i="5"/>
  <c r="AD145" i="6" s="1"/>
  <c r="AN146" i="5"/>
  <c r="AD146" i="6" s="1"/>
  <c r="AN148" i="5"/>
  <c r="AD148" i="6" s="1"/>
  <c r="S159" i="5"/>
  <c r="X153" i="5"/>
  <c r="R153" i="6" s="1"/>
  <c r="Z194" i="5"/>
  <c r="B125" i="5"/>
  <c r="B126" i="5" s="1"/>
  <c r="X110" i="5"/>
  <c r="R110" i="6" s="1"/>
  <c r="X122" i="5"/>
  <c r="R122" i="6" s="1"/>
  <c r="S125" i="5"/>
  <c r="BP129" i="5"/>
  <c r="BF149" i="5"/>
  <c r="BL145" i="5"/>
  <c r="BL149" i="5" s="1"/>
  <c r="BT94" i="5"/>
  <c r="H157" i="5"/>
  <c r="AL132" i="5"/>
  <c r="AL209" i="5" s="1"/>
  <c r="AL218" i="5" s="1"/>
  <c r="BT135" i="5"/>
  <c r="BN129" i="5"/>
  <c r="H129" i="5"/>
  <c r="F129" i="6" s="1"/>
  <c r="AD132" i="5"/>
  <c r="AD209" i="5" s="1"/>
  <c r="AD218" i="5" s="1"/>
  <c r="AD65" i="5"/>
  <c r="H110" i="5"/>
  <c r="AF144" i="5"/>
  <c r="Z149" i="5"/>
  <c r="BD125" i="4"/>
  <c r="AO125" i="6" s="1"/>
  <c r="AR209" i="4"/>
  <c r="AR218" i="4" s="1"/>
  <c r="AV111" i="4"/>
  <c r="AI111" i="6" s="1"/>
  <c r="BR65" i="4"/>
  <c r="BR129" i="4"/>
  <c r="BO128" i="4"/>
  <c r="AV121" i="4"/>
  <c r="AI121" i="6" s="1"/>
  <c r="AM209" i="4"/>
  <c r="AM218" i="4" s="1"/>
  <c r="AN109" i="4"/>
  <c r="BN129" i="4"/>
  <c r="AN68" i="4"/>
  <c r="AN82" i="4" s="1"/>
  <c r="AC82" i="6" s="1"/>
  <c r="AH170" i="4"/>
  <c r="AN170" i="4" s="1"/>
  <c r="AN171" i="4" s="1"/>
  <c r="AH82" i="4"/>
  <c r="AN193" i="4"/>
  <c r="AH157" i="4"/>
  <c r="AN157" i="4" s="1"/>
  <c r="AF125" i="4"/>
  <c r="BO109" i="4"/>
  <c r="R111" i="4"/>
  <c r="V209" i="4"/>
  <c r="V218" i="4" s="1"/>
  <c r="U209" i="4"/>
  <c r="U218" i="4" s="1"/>
  <c r="M209" i="4"/>
  <c r="M218" i="4" s="1"/>
  <c r="BP82" i="4"/>
  <c r="BT216" i="4"/>
  <c r="BA216" i="6" s="1"/>
  <c r="BT123" i="4"/>
  <c r="BA123" i="6" s="1"/>
  <c r="BR116" i="4"/>
  <c r="BT102" i="4"/>
  <c r="AH159" i="4"/>
  <c r="BJ209" i="4"/>
  <c r="BJ218" i="4" s="1"/>
  <c r="BP128" i="4"/>
  <c r="P71" i="4"/>
  <c r="BN71" i="4"/>
  <c r="BT71" i="4" s="1"/>
  <c r="BA71" i="6" s="1"/>
  <c r="BT174" i="4"/>
  <c r="BD126" i="4"/>
  <c r="AO126" i="6" s="1"/>
  <c r="AV154" i="4"/>
  <c r="BS129" i="4"/>
  <c r="AP116" i="4"/>
  <c r="AV110" i="4"/>
  <c r="BH132" i="4"/>
  <c r="B65" i="4"/>
  <c r="BS127" i="4"/>
  <c r="BS132" i="4" s="1"/>
  <c r="AI65" i="4"/>
  <c r="BF149" i="4"/>
  <c r="BL145" i="4"/>
  <c r="BL149" i="4" s="1"/>
  <c r="BT80" i="4"/>
  <c r="AT132" i="4"/>
  <c r="AT209" i="4" s="1"/>
  <c r="AT218" i="4" s="1"/>
  <c r="AT65" i="4"/>
  <c r="AA116" i="4"/>
  <c r="AF109" i="4"/>
  <c r="BF141" i="4"/>
  <c r="BL138" i="4"/>
  <c r="AP156" i="4"/>
  <c r="AV156" i="4" s="1"/>
  <c r="AI156" i="6" s="1"/>
  <c r="AV193" i="4"/>
  <c r="AI193" i="6" s="1"/>
  <c r="AV68" i="4"/>
  <c r="AP157" i="4"/>
  <c r="AV157" i="4" s="1"/>
  <c r="AI157" i="6" s="1"/>
  <c r="AP170" i="4"/>
  <c r="AV170" i="4" s="1"/>
  <c r="AI170" i="6" s="1"/>
  <c r="AP82" i="4"/>
  <c r="AB116" i="4"/>
  <c r="AB209" i="4" s="1"/>
  <c r="AB218" i="4" s="1"/>
  <c r="BT94" i="4"/>
  <c r="BD153" i="4"/>
  <c r="AO153" i="6" s="1"/>
  <c r="AY159" i="4"/>
  <c r="L116" i="4"/>
  <c r="L209" i="4" s="1"/>
  <c r="L218" i="4" s="1"/>
  <c r="BN112" i="4"/>
  <c r="BT112" i="4" s="1"/>
  <c r="BN78" i="4"/>
  <c r="BT78" i="4" s="1"/>
  <c r="BA78" i="6" s="1"/>
  <c r="G12" i="1" s="1"/>
  <c r="P78" i="4"/>
  <c r="K78" i="6" s="1"/>
  <c r="BO82" i="4"/>
  <c r="AA132" i="4"/>
  <c r="AF128" i="4"/>
  <c r="BT93" i="4"/>
  <c r="AV129" i="4"/>
  <c r="AI129" i="6" s="1"/>
  <c r="BN17" i="4"/>
  <c r="BA17" i="6" s="1"/>
  <c r="G5" i="1" s="1"/>
  <c r="BN3" i="4"/>
  <c r="BA3" i="6" s="1"/>
  <c r="AF126" i="4"/>
  <c r="Z149" i="4"/>
  <c r="AF144" i="4"/>
  <c r="AF149" i="4" s="1"/>
  <c r="BH111" i="4"/>
  <c r="BL129" i="4"/>
  <c r="AU129" i="6" s="1"/>
  <c r="BP126" i="4"/>
  <c r="X168" i="4"/>
  <c r="X145" i="4"/>
  <c r="X148" i="4"/>
  <c r="X146" i="4"/>
  <c r="R68" i="4"/>
  <c r="Z116" i="4"/>
  <c r="AF110" i="4"/>
  <c r="AV164" i="4"/>
  <c r="AI164" i="6" s="1"/>
  <c r="BD111" i="4"/>
  <c r="AC132" i="4"/>
  <c r="AC209" i="4" s="1"/>
  <c r="AC218" i="4" s="1"/>
  <c r="AC65" i="4"/>
  <c r="H121" i="4"/>
  <c r="H125" i="4" s="1"/>
  <c r="BN121" i="4"/>
  <c r="BT121" i="4" s="1"/>
  <c r="BA121" i="6" s="1"/>
  <c r="B125" i="4"/>
  <c r="BA132" i="4"/>
  <c r="BA209" i="4" s="1"/>
  <c r="BA218" i="4" s="1"/>
  <c r="BA65" i="4"/>
  <c r="AV178" i="4"/>
  <c r="AI178" i="6" s="1"/>
  <c r="R132" i="4"/>
  <c r="BL127" i="4"/>
  <c r="AU127" i="6" s="1"/>
  <c r="BN154" i="4"/>
  <c r="BT154" i="4" s="1"/>
  <c r="H154" i="4"/>
  <c r="AQ125" i="4"/>
  <c r="AV122" i="4"/>
  <c r="BL65" i="4"/>
  <c r="AU65" i="6" s="1"/>
  <c r="AF164" i="4"/>
  <c r="AF171" i="4" s="1"/>
  <c r="Z171" i="4"/>
  <c r="K65" i="4"/>
  <c r="AH171" i="4"/>
  <c r="AN122" i="4"/>
  <c r="AN125" i="4" s="1"/>
  <c r="AI125" i="4"/>
  <c r="AN126" i="4" s="1"/>
  <c r="AN129" i="4"/>
  <c r="BT119" i="4"/>
  <c r="BA119" i="6" s="1"/>
  <c r="BD155" i="4"/>
  <c r="AO155" i="6" s="1"/>
  <c r="BN155" i="4"/>
  <c r="BT155" i="4" s="1"/>
  <c r="BA155" i="6" s="1"/>
  <c r="BN207" i="4"/>
  <c r="AE132" i="4"/>
  <c r="AE209" i="4" s="1"/>
  <c r="AE218" i="4" s="1"/>
  <c r="AE65" i="4"/>
  <c r="AN138" i="4"/>
  <c r="AN141" i="4" s="1"/>
  <c r="AH141" i="4"/>
  <c r="X129" i="4"/>
  <c r="E65" i="4"/>
  <c r="AN128" i="4"/>
  <c r="AP141" i="4"/>
  <c r="AV138" i="4"/>
  <c r="AF154" i="4"/>
  <c r="BT207" i="4"/>
  <c r="O132" i="4"/>
  <c r="O209" i="4" s="1"/>
  <c r="O218" i="4" s="1"/>
  <c r="O65" i="4"/>
  <c r="AN144" i="4"/>
  <c r="AN149" i="4" s="1"/>
  <c r="AH149" i="4"/>
  <c r="BI116" i="4"/>
  <c r="BT103" i="4"/>
  <c r="BQ129" i="4"/>
  <c r="BN61" i="4"/>
  <c r="BN64" i="4" s="1"/>
  <c r="BN65" i="4" s="1"/>
  <c r="T132" i="4"/>
  <c r="T209" i="4" s="1"/>
  <c r="T218" i="4" s="1"/>
  <c r="T65" i="4"/>
  <c r="AH132" i="4"/>
  <c r="AH65" i="4"/>
  <c r="J125" i="4"/>
  <c r="X111" i="4"/>
  <c r="P113" i="4"/>
  <c r="BN113" i="4"/>
  <c r="BT113" i="4" s="1"/>
  <c r="AP149" i="4"/>
  <c r="AV144" i="4"/>
  <c r="G132" i="4"/>
  <c r="G209" i="4" s="1"/>
  <c r="G218" i="4" s="1"/>
  <c r="AN65" i="4"/>
  <c r="AF138" i="4"/>
  <c r="AF141" i="4" s="1"/>
  <c r="Z141" i="4"/>
  <c r="BN139" i="4"/>
  <c r="BT139" i="4" s="1"/>
  <c r="BL139" i="4"/>
  <c r="H111" i="4"/>
  <c r="BP154" i="4"/>
  <c r="BP159" i="4" s="1"/>
  <c r="D159" i="4"/>
  <c r="F65" i="4"/>
  <c r="P168" i="4"/>
  <c r="J68" i="4"/>
  <c r="P148" i="4"/>
  <c r="P145" i="4"/>
  <c r="L17" i="4"/>
  <c r="P146" i="4"/>
  <c r="BT135" i="4"/>
  <c r="BJ132" i="4"/>
  <c r="BR126" i="4"/>
  <c r="AN153" i="4"/>
  <c r="AI159" i="4"/>
  <c r="H128" i="4"/>
  <c r="AS65" i="4"/>
  <c r="AS132" i="4"/>
  <c r="AS209" i="4" s="1"/>
  <c r="AS218" i="4" s="1"/>
  <c r="BI132" i="4"/>
  <c r="BQ128" i="4"/>
  <c r="BT61" i="4"/>
  <c r="BQ116" i="4"/>
  <c r="AX156" i="4"/>
  <c r="BD156" i="4" s="1"/>
  <c r="AO156" i="6" s="1"/>
  <c r="AX193" i="4"/>
  <c r="AX170" i="4"/>
  <c r="BD170" i="4" s="1"/>
  <c r="AX82" i="4"/>
  <c r="BD68" i="4"/>
  <c r="AX157" i="4"/>
  <c r="BD157" i="4" s="1"/>
  <c r="AO157" i="6" s="1"/>
  <c r="AV153" i="4"/>
  <c r="AI153" i="6" s="1"/>
  <c r="AQ159" i="4"/>
  <c r="BN216" i="4"/>
  <c r="BT36" i="4"/>
  <c r="BT63" i="4" s="1"/>
  <c r="AF153" i="4"/>
  <c r="AA159" i="4"/>
  <c r="Z132" i="4"/>
  <c r="P122" i="4"/>
  <c r="P125" i="4" s="1"/>
  <c r="K125" i="4"/>
  <c r="E159" i="4"/>
  <c r="BQ154" i="4"/>
  <c r="BQ159" i="4" s="1"/>
  <c r="AX132" i="4"/>
  <c r="AX65" i="4"/>
  <c r="BO122" i="4"/>
  <c r="BN101" i="4"/>
  <c r="BT101" i="4" s="1"/>
  <c r="P101" i="4"/>
  <c r="P109" i="4" s="1"/>
  <c r="BT152" i="4"/>
  <c r="P128" i="4"/>
  <c r="BN128" i="4"/>
  <c r="BT128" i="4" s="1"/>
  <c r="BA128" i="6" s="1"/>
  <c r="BT162" i="4"/>
  <c r="BQ126" i="4"/>
  <c r="AF193" i="4"/>
  <c r="W193" i="6" s="1"/>
  <c r="Z170" i="4"/>
  <c r="AF170" i="4" s="1"/>
  <c r="Z82" i="4"/>
  <c r="AF68" i="4"/>
  <c r="AF82" i="4" s="1"/>
  <c r="W82" i="6" s="1"/>
  <c r="Z156" i="4"/>
  <c r="Z157" i="4"/>
  <c r="AF157" i="4" s="1"/>
  <c r="BO129" i="4"/>
  <c r="BP194" i="4"/>
  <c r="D65" i="4"/>
  <c r="S125" i="4"/>
  <c r="X122" i="4"/>
  <c r="X125" i="4" s="1"/>
  <c r="BS116" i="4"/>
  <c r="AU132" i="4"/>
  <c r="AU209" i="4" s="1"/>
  <c r="AU218" i="4" s="1"/>
  <c r="AU65" i="4"/>
  <c r="P129" i="4"/>
  <c r="N132" i="4"/>
  <c r="N209" i="4" s="1"/>
  <c r="N218" i="4" s="1"/>
  <c r="N65" i="4"/>
  <c r="AF178" i="4"/>
  <c r="AD132" i="4"/>
  <c r="AD209" i="4" s="1"/>
  <c r="AD218" i="4" s="1"/>
  <c r="AD65" i="4"/>
  <c r="BS194" i="4"/>
  <c r="C17" i="4"/>
  <c r="B68" i="4"/>
  <c r="W132" i="4"/>
  <c r="W209" i="4" s="1"/>
  <c r="W218" i="4" s="1"/>
  <c r="BD154" i="4"/>
  <c r="BP129" i="4"/>
  <c r="X154" i="4"/>
  <c r="J109" i="4"/>
  <c r="J110" i="4" s="1"/>
  <c r="AH116" i="4"/>
  <c r="AN110" i="4"/>
  <c r="AN116" i="4" s="1"/>
  <c r="J65" i="4"/>
  <c r="P65" i="4"/>
  <c r="BR128" i="4"/>
  <c r="R206" i="15"/>
  <c r="R205" i="15"/>
  <c r="R203" i="15"/>
  <c r="R202" i="15"/>
  <c r="R201" i="15"/>
  <c r="R200" i="15"/>
  <c r="R199" i="15"/>
  <c r="R197" i="15"/>
  <c r="X197" i="15" s="1"/>
  <c r="R185" i="15"/>
  <c r="R184" i="15"/>
  <c r="R183" i="15"/>
  <c r="BN183" i="15" s="1"/>
  <c r="BT183" i="15" s="1"/>
  <c r="R182" i="15"/>
  <c r="R179" i="15"/>
  <c r="R178" i="15"/>
  <c r="R177" i="15"/>
  <c r="R176" i="15"/>
  <c r="R175" i="15"/>
  <c r="R174" i="15"/>
  <c r="R168" i="15"/>
  <c r="R167" i="15"/>
  <c r="R166" i="15"/>
  <c r="R165" i="15"/>
  <c r="R164" i="15"/>
  <c r="R163" i="15"/>
  <c r="R162" i="15"/>
  <c r="R154" i="15"/>
  <c r="S154" i="15"/>
  <c r="S153" i="15"/>
  <c r="R152" i="15"/>
  <c r="R148" i="15"/>
  <c r="R146" i="15"/>
  <c r="R145" i="15"/>
  <c r="R144" i="15"/>
  <c r="S140" i="15"/>
  <c r="R138" i="15"/>
  <c r="R135" i="15"/>
  <c r="S127" i="15"/>
  <c r="T127" i="15"/>
  <c r="U127" i="15"/>
  <c r="V127" i="15"/>
  <c r="W127" i="15"/>
  <c r="S126" i="15"/>
  <c r="T126" i="15"/>
  <c r="U126" i="15"/>
  <c r="V126" i="15"/>
  <c r="W126" i="15"/>
  <c r="R124" i="15"/>
  <c r="R123" i="15"/>
  <c r="S123" i="15"/>
  <c r="S122" i="15"/>
  <c r="R121" i="15"/>
  <c r="R119" i="15"/>
  <c r="T111" i="15"/>
  <c r="S111" i="15"/>
  <c r="U111" i="15"/>
  <c r="V111" i="15"/>
  <c r="W111" i="15"/>
  <c r="S110" i="15"/>
  <c r="T110" i="15"/>
  <c r="U110" i="15"/>
  <c r="V110" i="15"/>
  <c r="W110" i="15"/>
  <c r="R110" i="15"/>
  <c r="R107" i="15"/>
  <c r="S106" i="15"/>
  <c r="S104" i="15"/>
  <c r="T102" i="15"/>
  <c r="R101" i="15"/>
  <c r="R100" i="15"/>
  <c r="R99" i="15"/>
  <c r="R98" i="15"/>
  <c r="R109" i="15" s="1"/>
  <c r="R95" i="15"/>
  <c r="R94" i="15"/>
  <c r="R93" i="15"/>
  <c r="S74" i="15"/>
  <c r="R71" i="15"/>
  <c r="R70" i="15"/>
  <c r="R69" i="15"/>
  <c r="J206" i="15"/>
  <c r="J205" i="15"/>
  <c r="J203" i="15"/>
  <c r="J202" i="15"/>
  <c r="J201" i="15"/>
  <c r="J200" i="15"/>
  <c r="J199" i="15"/>
  <c r="J197" i="15"/>
  <c r="J186" i="15"/>
  <c r="J185" i="15"/>
  <c r="J184" i="15"/>
  <c r="J183" i="15"/>
  <c r="J182" i="15"/>
  <c r="J179" i="15"/>
  <c r="P179" i="15"/>
  <c r="J178" i="15"/>
  <c r="J177" i="15"/>
  <c r="J176" i="15"/>
  <c r="J175" i="15"/>
  <c r="BN175" i="15" s="1"/>
  <c r="J174" i="15"/>
  <c r="J168" i="15"/>
  <c r="J167" i="15"/>
  <c r="J166" i="15"/>
  <c r="J165" i="15"/>
  <c r="J164" i="15"/>
  <c r="J162" i="15"/>
  <c r="J154" i="15"/>
  <c r="K154" i="15"/>
  <c r="K153" i="15"/>
  <c r="J152" i="15"/>
  <c r="J148" i="15"/>
  <c r="J146" i="15"/>
  <c r="J145" i="15"/>
  <c r="J144" i="15"/>
  <c r="K140" i="15"/>
  <c r="J138" i="15"/>
  <c r="J135" i="15"/>
  <c r="K127" i="15"/>
  <c r="L127" i="15"/>
  <c r="M127" i="15"/>
  <c r="N127" i="15"/>
  <c r="O127" i="15"/>
  <c r="J127" i="15"/>
  <c r="K126" i="15"/>
  <c r="L126" i="15"/>
  <c r="M126" i="15"/>
  <c r="N126" i="15"/>
  <c r="O126" i="15"/>
  <c r="J126" i="15"/>
  <c r="J124" i="15"/>
  <c r="K123" i="15"/>
  <c r="J123" i="15"/>
  <c r="K122" i="15"/>
  <c r="J121" i="15"/>
  <c r="J120" i="15"/>
  <c r="J119" i="15"/>
  <c r="L111" i="15"/>
  <c r="K111" i="15"/>
  <c r="M111" i="15"/>
  <c r="N111" i="15"/>
  <c r="O111" i="15"/>
  <c r="J111" i="15"/>
  <c r="K110" i="15"/>
  <c r="L110" i="15"/>
  <c r="M110" i="15"/>
  <c r="N110" i="15"/>
  <c r="O110" i="15"/>
  <c r="J110" i="15"/>
  <c r="J108" i="15"/>
  <c r="J107" i="15"/>
  <c r="K106" i="15"/>
  <c r="K105" i="15"/>
  <c r="K104" i="15"/>
  <c r="L102" i="15"/>
  <c r="J101" i="15"/>
  <c r="J100" i="15"/>
  <c r="J99" i="15"/>
  <c r="J98" i="15"/>
  <c r="J97" i="15"/>
  <c r="J96" i="15"/>
  <c r="BN96" i="15" s="1"/>
  <c r="BT96" i="15" s="1"/>
  <c r="J95" i="15"/>
  <c r="J94" i="15"/>
  <c r="J93" i="15"/>
  <c r="K74" i="15"/>
  <c r="J71" i="15"/>
  <c r="J70" i="15"/>
  <c r="J69" i="15"/>
  <c r="B127" i="15"/>
  <c r="F77" i="15"/>
  <c r="H77" i="15" s="1"/>
  <c r="F119" i="15"/>
  <c r="B206" i="15"/>
  <c r="B205" i="15"/>
  <c r="B203" i="15"/>
  <c r="H203" i="15" s="1"/>
  <c r="B202" i="15"/>
  <c r="B201" i="15"/>
  <c r="B200" i="15"/>
  <c r="B199" i="15"/>
  <c r="B198" i="15"/>
  <c r="B197" i="15"/>
  <c r="B185" i="15"/>
  <c r="B184" i="15"/>
  <c r="B183" i="15"/>
  <c r="B182" i="15"/>
  <c r="BN182" i="15" s="1"/>
  <c r="BT182" i="15" s="1"/>
  <c r="B179" i="15"/>
  <c r="B178" i="15"/>
  <c r="B177" i="15"/>
  <c r="H177" i="15" s="1"/>
  <c r="B176" i="15"/>
  <c r="B175" i="15"/>
  <c r="B174" i="15"/>
  <c r="B168" i="15"/>
  <c r="B167" i="15"/>
  <c r="B166" i="15"/>
  <c r="B165" i="15"/>
  <c r="B164" i="15"/>
  <c r="B162" i="15"/>
  <c r="B154" i="15"/>
  <c r="C154" i="15"/>
  <c r="C153" i="15"/>
  <c r="B152" i="15"/>
  <c r="B148" i="15"/>
  <c r="B146" i="15"/>
  <c r="B145" i="15"/>
  <c r="B144" i="15"/>
  <c r="C140" i="15"/>
  <c r="B138" i="15"/>
  <c r="B135" i="15"/>
  <c r="C127" i="15"/>
  <c r="D127" i="15"/>
  <c r="E127" i="15"/>
  <c r="C126" i="15"/>
  <c r="D126" i="15"/>
  <c r="E126" i="15"/>
  <c r="G126" i="15"/>
  <c r="B126" i="15"/>
  <c r="B124" i="15"/>
  <c r="B123" i="15"/>
  <c r="C123" i="15"/>
  <c r="C122" i="15"/>
  <c r="B121" i="15"/>
  <c r="B119" i="15"/>
  <c r="D111" i="15"/>
  <c r="C111" i="15"/>
  <c r="E111" i="15"/>
  <c r="F111" i="15"/>
  <c r="G111" i="15"/>
  <c r="B111" i="15"/>
  <c r="C110" i="15"/>
  <c r="D110" i="15"/>
  <c r="E110" i="15"/>
  <c r="F110" i="15"/>
  <c r="G110" i="15"/>
  <c r="B110" i="15"/>
  <c r="B108" i="15"/>
  <c r="C104" i="15"/>
  <c r="D102" i="15"/>
  <c r="B101" i="15"/>
  <c r="B99" i="15"/>
  <c r="B98" i="15"/>
  <c r="C94" i="15"/>
  <c r="B94" i="15"/>
  <c r="B93" i="15"/>
  <c r="C74" i="15"/>
  <c r="B71" i="15"/>
  <c r="B70" i="15"/>
  <c r="B69" i="15"/>
  <c r="M246" i="15"/>
  <c r="BS220" i="15"/>
  <c r="BR220" i="15"/>
  <c r="BQ220" i="15"/>
  <c r="BP220" i="15"/>
  <c r="BO220" i="15"/>
  <c r="BN220" i="15"/>
  <c r="BL220" i="15"/>
  <c r="BK220" i="15"/>
  <c r="BJ220" i="15"/>
  <c r="BI220" i="15"/>
  <c r="BH220" i="15"/>
  <c r="BG220" i="15"/>
  <c r="BF220" i="15"/>
  <c r="BD220" i="15"/>
  <c r="BC220" i="15"/>
  <c r="BB220" i="15"/>
  <c r="BA220" i="15"/>
  <c r="AZ220" i="15"/>
  <c r="AY220" i="15"/>
  <c r="AX220" i="15"/>
  <c r="AV220" i="15"/>
  <c r="AU220" i="15"/>
  <c r="AT220" i="15"/>
  <c r="AS220" i="15"/>
  <c r="AR220" i="15"/>
  <c r="AQ220" i="15"/>
  <c r="AP220" i="15"/>
  <c r="AN220" i="15"/>
  <c r="AM220" i="15"/>
  <c r="AL220" i="15"/>
  <c r="AK220" i="15"/>
  <c r="AJ220" i="15"/>
  <c r="AI220" i="15"/>
  <c r="AH220" i="15"/>
  <c r="AF220" i="15"/>
  <c r="AE220" i="15"/>
  <c r="AD220" i="15"/>
  <c r="AC220" i="15"/>
  <c r="AB220" i="15"/>
  <c r="AA220" i="15"/>
  <c r="Z220" i="15"/>
  <c r="X220" i="15"/>
  <c r="W220" i="15"/>
  <c r="V220" i="15"/>
  <c r="U220" i="15"/>
  <c r="T220" i="15"/>
  <c r="S220" i="15"/>
  <c r="R220" i="15"/>
  <c r="P220" i="15"/>
  <c r="O220" i="15"/>
  <c r="N220" i="15"/>
  <c r="M220" i="15"/>
  <c r="L220" i="15"/>
  <c r="K220" i="15"/>
  <c r="J220" i="15"/>
  <c r="H220" i="15"/>
  <c r="G220" i="15"/>
  <c r="F220" i="15"/>
  <c r="E220" i="15"/>
  <c r="D220" i="15"/>
  <c r="C220" i="15"/>
  <c r="B220" i="15"/>
  <c r="A220" i="15"/>
  <c r="BP216" i="15"/>
  <c r="BK216" i="15"/>
  <c r="BJ216" i="15"/>
  <c r="BI216" i="15"/>
  <c r="BH216" i="15"/>
  <c r="BG216" i="15"/>
  <c r="BF216" i="15"/>
  <c r="BC216" i="15"/>
  <c r="BB216" i="15"/>
  <c r="BA216" i="15"/>
  <c r="AZ216" i="15"/>
  <c r="AY216" i="15"/>
  <c r="AX216" i="15"/>
  <c r="AU216" i="15"/>
  <c r="AT216" i="15"/>
  <c r="AS216" i="15"/>
  <c r="AR216" i="15"/>
  <c r="AQ216" i="15"/>
  <c r="AP216" i="15"/>
  <c r="AM216" i="15"/>
  <c r="AL216" i="15"/>
  <c r="AK216" i="15"/>
  <c r="AJ216" i="15"/>
  <c r="AI216" i="15"/>
  <c r="AH216" i="15"/>
  <c r="AE216" i="15"/>
  <c r="AD216" i="15"/>
  <c r="AC216" i="15"/>
  <c r="AB216" i="15"/>
  <c r="AA216" i="15"/>
  <c r="Z216" i="15"/>
  <c r="W216" i="15"/>
  <c r="V216" i="15"/>
  <c r="U216" i="15"/>
  <c r="T216" i="15"/>
  <c r="S216" i="15"/>
  <c r="R216" i="15"/>
  <c r="P216" i="15"/>
  <c r="O216" i="15"/>
  <c r="N216" i="15"/>
  <c r="M216" i="15"/>
  <c r="L216" i="15"/>
  <c r="K216" i="15"/>
  <c r="J216" i="15"/>
  <c r="G216" i="15"/>
  <c r="F216" i="15"/>
  <c r="E216" i="15"/>
  <c r="D216" i="15"/>
  <c r="C216" i="15"/>
  <c r="B216" i="15"/>
  <c r="BS215" i="15"/>
  <c r="BR215" i="15"/>
  <c r="BQ215" i="15"/>
  <c r="BP215" i="15"/>
  <c r="BT215" i="15" s="1"/>
  <c r="BO215" i="15"/>
  <c r="BN215" i="15"/>
  <c r="BL215" i="15"/>
  <c r="BD215" i="15"/>
  <c r="AV215" i="15"/>
  <c r="AN215" i="15"/>
  <c r="AF215" i="15"/>
  <c r="X215" i="15"/>
  <c r="P215" i="15"/>
  <c r="H215" i="15"/>
  <c r="BS214" i="15"/>
  <c r="BR214" i="15"/>
  <c r="BQ214" i="15"/>
  <c r="BP214" i="15"/>
  <c r="BO214" i="15"/>
  <c r="BN214" i="15"/>
  <c r="BL214" i="15"/>
  <c r="BD214" i="15"/>
  <c r="AV214" i="15"/>
  <c r="AH214" i="6" s="1"/>
  <c r="F30" i="1" s="1"/>
  <c r="AN214" i="15"/>
  <c r="AF214" i="15"/>
  <c r="V214" i="6" s="1"/>
  <c r="X214" i="15"/>
  <c r="P214" i="6" s="1"/>
  <c r="P214" i="15"/>
  <c r="H214" i="15"/>
  <c r="D214" i="6" s="1"/>
  <c r="BS213" i="15"/>
  <c r="BR213" i="15"/>
  <c r="BQ213" i="15"/>
  <c r="BP213" i="15"/>
  <c r="BO213" i="15"/>
  <c r="BN213" i="15"/>
  <c r="BL213" i="15"/>
  <c r="BD213" i="15"/>
  <c r="AV213" i="15"/>
  <c r="AN213" i="15"/>
  <c r="AF213" i="15"/>
  <c r="X213" i="15"/>
  <c r="P213" i="6" s="1"/>
  <c r="P213" i="15"/>
  <c r="H213" i="15"/>
  <c r="D213" i="6" s="1"/>
  <c r="BS212" i="15"/>
  <c r="BR212" i="15"/>
  <c r="BR216" i="15" s="1"/>
  <c r="BQ212" i="15"/>
  <c r="BP212" i="15"/>
  <c r="BO212" i="15"/>
  <c r="BN212" i="15"/>
  <c r="BL212" i="15"/>
  <c r="BD212" i="15"/>
  <c r="BD216" i="15" s="1"/>
  <c r="AV212" i="15"/>
  <c r="AN212" i="15"/>
  <c r="AB212" i="6" s="1"/>
  <c r="AF212" i="15"/>
  <c r="X212" i="15"/>
  <c r="P212" i="15"/>
  <c r="H212" i="15"/>
  <c r="H216" i="15" s="1"/>
  <c r="D216" i="6" s="1"/>
  <c r="BK207" i="15"/>
  <c r="BJ207" i="15"/>
  <c r="BI207" i="15"/>
  <c r="BH207" i="15"/>
  <c r="BG207" i="15"/>
  <c r="BF207" i="15"/>
  <c r="BC207" i="15"/>
  <c r="BB207" i="15"/>
  <c r="BA207" i="15"/>
  <c r="AZ207" i="15"/>
  <c r="AY207" i="15"/>
  <c r="AX207" i="15"/>
  <c r="AU207" i="15"/>
  <c r="AT207" i="15"/>
  <c r="AS207" i="15"/>
  <c r="AR207" i="15"/>
  <c r="AQ207" i="15"/>
  <c r="AM207" i="15"/>
  <c r="AL207" i="15"/>
  <c r="AK207" i="15"/>
  <c r="AJ207" i="15"/>
  <c r="AI207" i="15"/>
  <c r="AE207" i="15"/>
  <c r="AD207" i="15"/>
  <c r="AC207" i="15"/>
  <c r="AB207" i="15"/>
  <c r="AA207" i="15"/>
  <c r="W207" i="15"/>
  <c r="V207" i="15"/>
  <c r="U207" i="15"/>
  <c r="T207" i="15"/>
  <c r="S207" i="15"/>
  <c r="O207" i="15"/>
  <c r="N207" i="15"/>
  <c r="M207" i="15"/>
  <c r="L207" i="15"/>
  <c r="K207" i="15"/>
  <c r="G207" i="15"/>
  <c r="F207" i="15"/>
  <c r="E207" i="15"/>
  <c r="D207" i="15"/>
  <c r="C207" i="15"/>
  <c r="BS206" i="15"/>
  <c r="BR206" i="15"/>
  <c r="BQ206" i="15"/>
  <c r="BP206" i="15"/>
  <c r="BO206" i="15"/>
  <c r="BL206" i="15"/>
  <c r="BD206" i="15"/>
  <c r="AV206" i="15"/>
  <c r="AN206" i="15"/>
  <c r="AF206" i="15"/>
  <c r="X206" i="15"/>
  <c r="H206" i="15"/>
  <c r="BS205" i="15"/>
  <c r="BR205" i="15"/>
  <c r="BQ205" i="15"/>
  <c r="BP205" i="15"/>
  <c r="BO205" i="15"/>
  <c r="BL205" i="15"/>
  <c r="BD205" i="15"/>
  <c r="AV205" i="15"/>
  <c r="AN205" i="15"/>
  <c r="AF205" i="15"/>
  <c r="X205" i="15"/>
  <c r="P205" i="15"/>
  <c r="BS204" i="15"/>
  <c r="BR204" i="15"/>
  <c r="BQ204" i="15"/>
  <c r="BP204" i="15"/>
  <c r="BO204" i="15"/>
  <c r="BT204" i="15" s="1"/>
  <c r="BN204" i="15"/>
  <c r="BL204" i="15"/>
  <c r="BD204" i="15"/>
  <c r="AV204" i="15"/>
  <c r="AN204" i="15"/>
  <c r="AF204" i="15"/>
  <c r="X204" i="15"/>
  <c r="P204" i="15"/>
  <c r="H204" i="15"/>
  <c r="BS203" i="15"/>
  <c r="BR203" i="15"/>
  <c r="BQ203" i="15"/>
  <c r="BP203" i="15"/>
  <c r="BO203" i="15"/>
  <c r="BL203" i="15"/>
  <c r="BD203" i="15"/>
  <c r="AV203" i="15"/>
  <c r="AN203" i="15"/>
  <c r="AF203" i="15"/>
  <c r="X203" i="15"/>
  <c r="P203" i="15"/>
  <c r="BS202" i="15"/>
  <c r="BR202" i="15"/>
  <c r="BQ202" i="15"/>
  <c r="BP202" i="15"/>
  <c r="BO202" i="15"/>
  <c r="BL202" i="15"/>
  <c r="BD202" i="15"/>
  <c r="AV202" i="15"/>
  <c r="AP207" i="15"/>
  <c r="AN202" i="15"/>
  <c r="AF202" i="15"/>
  <c r="X202" i="15"/>
  <c r="P202" i="15"/>
  <c r="BS201" i="15"/>
  <c r="BR201" i="15"/>
  <c r="BQ201" i="15"/>
  <c r="BP201" i="15"/>
  <c r="BO201" i="15"/>
  <c r="BN201" i="15"/>
  <c r="BT201" i="15" s="1"/>
  <c r="BL201" i="15"/>
  <c r="BD201" i="15"/>
  <c r="BD207" i="15" s="1"/>
  <c r="AV201" i="15"/>
  <c r="AN201" i="15"/>
  <c r="AF201" i="15"/>
  <c r="X201" i="15"/>
  <c r="H201" i="15"/>
  <c r="BS200" i="15"/>
  <c r="BR200" i="15"/>
  <c r="BQ200" i="15"/>
  <c r="BP200" i="15"/>
  <c r="BO200" i="15"/>
  <c r="BL200" i="15"/>
  <c r="BD200" i="15"/>
  <c r="AV200" i="15"/>
  <c r="AN200" i="15"/>
  <c r="AF200" i="15"/>
  <c r="P200" i="15"/>
  <c r="H200" i="15"/>
  <c r="BS199" i="15"/>
  <c r="BR199" i="15"/>
  <c r="BQ199" i="15"/>
  <c r="BP199" i="15"/>
  <c r="BO199" i="15"/>
  <c r="BL199" i="15"/>
  <c r="BD199" i="15"/>
  <c r="AV199" i="15"/>
  <c r="AN199" i="15"/>
  <c r="AF199" i="15"/>
  <c r="X199" i="15"/>
  <c r="P199" i="15"/>
  <c r="BS198" i="15"/>
  <c r="BR198" i="15"/>
  <c r="BQ198" i="15"/>
  <c r="BP198" i="15"/>
  <c r="BO198" i="15"/>
  <c r="BL198" i="15"/>
  <c r="BD198" i="15"/>
  <c r="AV198" i="15"/>
  <c r="AN198" i="15"/>
  <c r="AF198" i="15"/>
  <c r="X198" i="15"/>
  <c r="P198" i="15"/>
  <c r="BS197" i="15"/>
  <c r="BR197" i="15"/>
  <c r="BQ197" i="15"/>
  <c r="BP197" i="15"/>
  <c r="BO197" i="15"/>
  <c r="BL197" i="15"/>
  <c r="BD197" i="15"/>
  <c r="AV197" i="15"/>
  <c r="AF197" i="15"/>
  <c r="P197" i="15"/>
  <c r="H196" i="15"/>
  <c r="E196" i="15"/>
  <c r="BK194" i="15"/>
  <c r="BI194" i="15"/>
  <c r="BH194" i="15"/>
  <c r="BG194" i="15"/>
  <c r="BF194" i="15"/>
  <c r="BB194" i="15"/>
  <c r="BA194" i="15"/>
  <c r="AZ194" i="15"/>
  <c r="AY194" i="15"/>
  <c r="AT194" i="15"/>
  <c r="AS194" i="15"/>
  <c r="AQ194" i="15"/>
  <c r="AM194" i="15"/>
  <c r="AL194" i="15"/>
  <c r="AK194" i="15"/>
  <c r="AJ194" i="15"/>
  <c r="AI194" i="15"/>
  <c r="AE194" i="15"/>
  <c r="AD194" i="15"/>
  <c r="AC194" i="15"/>
  <c r="AA194" i="15"/>
  <c r="V194" i="15"/>
  <c r="U194" i="15"/>
  <c r="T194" i="15"/>
  <c r="S194" i="15"/>
  <c r="O194" i="15"/>
  <c r="N194" i="15"/>
  <c r="M194" i="15"/>
  <c r="K194" i="15"/>
  <c r="G194" i="15"/>
  <c r="F194" i="15"/>
  <c r="E194" i="15"/>
  <c r="C194" i="15"/>
  <c r="BS193" i="15"/>
  <c r="BR193" i="15"/>
  <c r="BQ193" i="15"/>
  <c r="BP193" i="15"/>
  <c r="BO193" i="15"/>
  <c r="BL193" i="15"/>
  <c r="BS192" i="15"/>
  <c r="BR192" i="15"/>
  <c r="BT192" i="15" s="1"/>
  <c r="BQ192" i="15"/>
  <c r="BP192" i="15"/>
  <c r="BO192" i="15"/>
  <c r="BN192" i="15"/>
  <c r="BJ192" i="15"/>
  <c r="BD192" i="15"/>
  <c r="AV192" i="15"/>
  <c r="AN192" i="15"/>
  <c r="AF192" i="15"/>
  <c r="X192" i="15"/>
  <c r="P192" i="15"/>
  <c r="H192" i="15"/>
  <c r="BR191" i="15"/>
  <c r="BQ191" i="15"/>
  <c r="BP191" i="15"/>
  <c r="BO191" i="15"/>
  <c r="BN191" i="15"/>
  <c r="BL191" i="15"/>
  <c r="BD191" i="15"/>
  <c r="BC191" i="15"/>
  <c r="BC194" i="15" s="1"/>
  <c r="AV191" i="15"/>
  <c r="AU191" i="15"/>
  <c r="AU194" i="15" s="1"/>
  <c r="AN191" i="15"/>
  <c r="AM191" i="15"/>
  <c r="AF191" i="15"/>
  <c r="AE191" i="15"/>
  <c r="W191" i="15"/>
  <c r="O191" i="15"/>
  <c r="H191" i="15"/>
  <c r="G191" i="15"/>
  <c r="BS190" i="15"/>
  <c r="BR190" i="15"/>
  <c r="BQ190" i="15"/>
  <c r="BP190" i="15"/>
  <c r="BO190" i="15"/>
  <c r="BN190" i="15"/>
  <c r="BL190" i="15"/>
  <c r="BD190" i="15"/>
  <c r="AV190" i="15"/>
  <c r="AN190" i="15"/>
  <c r="AF190" i="15"/>
  <c r="X190" i="15"/>
  <c r="P190" i="15"/>
  <c r="H190" i="15"/>
  <c r="BS189" i="15"/>
  <c r="BR189" i="15"/>
  <c r="BQ189" i="15"/>
  <c r="BP189" i="15"/>
  <c r="BO189" i="15"/>
  <c r="BN189" i="15"/>
  <c r="BL189" i="15"/>
  <c r="BD189" i="15"/>
  <c r="AV189" i="15"/>
  <c r="AN189" i="15"/>
  <c r="AF189" i="15"/>
  <c r="X189" i="15"/>
  <c r="P189" i="15"/>
  <c r="H189" i="15"/>
  <c r="BT188" i="15"/>
  <c r="BS188" i="15"/>
  <c r="BR188" i="15"/>
  <c r="BQ188" i="15"/>
  <c r="BP188" i="15"/>
  <c r="BO188" i="15"/>
  <c r="BN188" i="15"/>
  <c r="BL188" i="15"/>
  <c r="BD188" i="15"/>
  <c r="AV188" i="15"/>
  <c r="AN188" i="15"/>
  <c r="AF188" i="15"/>
  <c r="X188" i="15"/>
  <c r="P188" i="15"/>
  <c r="H188" i="15"/>
  <c r="BS187" i="15"/>
  <c r="BR187" i="15"/>
  <c r="BQ187" i="15"/>
  <c r="BP187" i="15"/>
  <c r="BO187" i="15"/>
  <c r="BN187" i="15"/>
  <c r="BL187" i="15"/>
  <c r="BD187" i="15"/>
  <c r="AV187" i="15"/>
  <c r="AN187" i="15"/>
  <c r="AF187" i="15"/>
  <c r="X187" i="15"/>
  <c r="P187" i="15"/>
  <c r="H187" i="15"/>
  <c r="BS186" i="15"/>
  <c r="BR186" i="15"/>
  <c r="BQ186" i="15"/>
  <c r="BP186" i="15"/>
  <c r="BO186" i="15"/>
  <c r="BN186" i="15"/>
  <c r="BL186" i="15"/>
  <c r="BD186" i="15"/>
  <c r="AV186" i="15"/>
  <c r="AN186" i="15"/>
  <c r="AF186" i="15"/>
  <c r="X186" i="15"/>
  <c r="P186" i="15"/>
  <c r="H186" i="15"/>
  <c r="BS185" i="15"/>
  <c r="BR185" i="15"/>
  <c r="BQ185" i="15"/>
  <c r="BP185" i="15"/>
  <c r="BO185" i="15"/>
  <c r="BL185" i="15"/>
  <c r="AT185" i="6" s="1"/>
  <c r="BD185" i="15"/>
  <c r="AN185" i="15"/>
  <c r="AB185" i="6" s="1"/>
  <c r="AF185" i="15"/>
  <c r="X185" i="15"/>
  <c r="P185" i="15"/>
  <c r="H185" i="15"/>
  <c r="BS184" i="15"/>
  <c r="BR184" i="15"/>
  <c r="BQ184" i="15"/>
  <c r="BP184" i="15"/>
  <c r="BO184" i="15"/>
  <c r="BN184" i="15"/>
  <c r="BL184" i="15"/>
  <c r="BD184" i="15"/>
  <c r="AV184" i="15"/>
  <c r="AN184" i="15"/>
  <c r="AF184" i="15"/>
  <c r="X184" i="15"/>
  <c r="P184" i="15"/>
  <c r="H184" i="15"/>
  <c r="BS183" i="15"/>
  <c r="BR183" i="15"/>
  <c r="BQ183" i="15"/>
  <c r="BP183" i="15"/>
  <c r="BO183" i="15"/>
  <c r="BL183" i="15"/>
  <c r="BD183" i="15"/>
  <c r="AV183" i="15"/>
  <c r="AN183" i="15"/>
  <c r="AF183" i="15"/>
  <c r="X183" i="15"/>
  <c r="P183" i="15"/>
  <c r="H183" i="15"/>
  <c r="BS182" i="15"/>
  <c r="BR182" i="15"/>
  <c r="BQ182" i="15"/>
  <c r="BP182" i="15"/>
  <c r="BO182" i="15"/>
  <c r="BL182" i="15"/>
  <c r="BD182" i="15"/>
  <c r="AV182" i="15"/>
  <c r="AN182" i="15"/>
  <c r="AF182" i="15"/>
  <c r="X182" i="15"/>
  <c r="P182" i="15"/>
  <c r="H182" i="15"/>
  <c r="BS181" i="15"/>
  <c r="BR181" i="15"/>
  <c r="BQ181" i="15"/>
  <c r="BP181" i="15"/>
  <c r="BO181" i="15"/>
  <c r="BN181" i="15"/>
  <c r="BL181" i="15"/>
  <c r="BD181" i="15"/>
  <c r="AN181" i="15"/>
  <c r="X181" i="15"/>
  <c r="P181" i="15"/>
  <c r="H181" i="15"/>
  <c r="BS180" i="15"/>
  <c r="BR180" i="15"/>
  <c r="BQ180" i="15"/>
  <c r="BO180" i="15"/>
  <c r="BN180" i="15"/>
  <c r="BL180" i="15"/>
  <c r="BD180" i="15"/>
  <c r="AV180" i="15"/>
  <c r="AN180" i="15"/>
  <c r="AF180" i="15"/>
  <c r="X180" i="15"/>
  <c r="BS179" i="15"/>
  <c r="BR179" i="15"/>
  <c r="BQ179" i="15"/>
  <c r="BP179" i="15"/>
  <c r="BO179" i="15"/>
  <c r="BL179" i="15"/>
  <c r="BD179" i="15"/>
  <c r="AV179" i="15"/>
  <c r="AN179" i="15"/>
  <c r="AF179" i="15"/>
  <c r="X179" i="15"/>
  <c r="BS178" i="15"/>
  <c r="BR178" i="15"/>
  <c r="BQ178" i="15"/>
  <c r="BP178" i="15"/>
  <c r="BO178" i="15"/>
  <c r="BL178" i="15"/>
  <c r="BS177" i="15"/>
  <c r="BR177" i="15"/>
  <c r="BQ177" i="15"/>
  <c r="BP177" i="15"/>
  <c r="BO177" i="15"/>
  <c r="BL177" i="15"/>
  <c r="BD177" i="15"/>
  <c r="AV177" i="15"/>
  <c r="AN177" i="15"/>
  <c r="AF177" i="15"/>
  <c r="X177" i="15"/>
  <c r="P177" i="15"/>
  <c r="BS176" i="15"/>
  <c r="BR176" i="15"/>
  <c r="BQ176" i="15"/>
  <c r="BP176" i="15"/>
  <c r="BO176" i="15"/>
  <c r="BL176" i="15"/>
  <c r="BD176" i="15"/>
  <c r="AN176" i="15"/>
  <c r="AF176" i="15"/>
  <c r="X176" i="15"/>
  <c r="P176" i="15"/>
  <c r="H176" i="15"/>
  <c r="BS175" i="15"/>
  <c r="BR175" i="15"/>
  <c r="BQ175" i="15"/>
  <c r="BP175" i="15"/>
  <c r="BO175" i="15"/>
  <c r="BL175" i="15"/>
  <c r="BD175" i="15"/>
  <c r="AV175" i="15"/>
  <c r="AN175" i="15"/>
  <c r="AF175" i="15"/>
  <c r="X175" i="15"/>
  <c r="H175" i="15"/>
  <c r="BS174" i="15"/>
  <c r="BR174" i="15"/>
  <c r="BQ174" i="15"/>
  <c r="BP174" i="15"/>
  <c r="BO174" i="15"/>
  <c r="BL174" i="15"/>
  <c r="BD174" i="15"/>
  <c r="AV174" i="15"/>
  <c r="AN174" i="15"/>
  <c r="AF174" i="15"/>
  <c r="H174" i="15"/>
  <c r="BP171" i="15"/>
  <c r="BK171" i="15"/>
  <c r="BJ171" i="15"/>
  <c r="BI171" i="15"/>
  <c r="BH171" i="15"/>
  <c r="BG171" i="15"/>
  <c r="BF171" i="15"/>
  <c r="BC171" i="15"/>
  <c r="BB171" i="15"/>
  <c r="BA171" i="15"/>
  <c r="AZ171" i="15"/>
  <c r="AY171" i="15"/>
  <c r="AU171" i="15"/>
  <c r="AT171" i="15"/>
  <c r="AS171" i="15"/>
  <c r="AR171" i="15"/>
  <c r="AQ171" i="15"/>
  <c r="AM171" i="15"/>
  <c r="AL171" i="15"/>
  <c r="AK171" i="15"/>
  <c r="AJ171" i="15"/>
  <c r="AI171" i="15"/>
  <c r="AE171" i="15"/>
  <c r="AD171" i="15"/>
  <c r="AC171" i="15"/>
  <c r="AB171" i="15"/>
  <c r="AA171" i="15"/>
  <c r="W171" i="15"/>
  <c r="V171" i="15"/>
  <c r="U171" i="15"/>
  <c r="T171" i="15"/>
  <c r="S171" i="15"/>
  <c r="O171" i="15"/>
  <c r="N171" i="15"/>
  <c r="M171" i="15"/>
  <c r="L171" i="15"/>
  <c r="K171" i="15"/>
  <c r="G171" i="15"/>
  <c r="F171" i="15"/>
  <c r="E171" i="15"/>
  <c r="D171" i="15"/>
  <c r="C171" i="15"/>
  <c r="BS170" i="15"/>
  <c r="BR170" i="15"/>
  <c r="BQ170" i="15"/>
  <c r="BP170" i="15"/>
  <c r="BO170" i="15"/>
  <c r="BL170" i="15"/>
  <c r="BS169" i="15"/>
  <c r="BR169" i="15"/>
  <c r="BQ169" i="15"/>
  <c r="BP169" i="15"/>
  <c r="BO169" i="15"/>
  <c r="BN169" i="15"/>
  <c r="BL169" i="15"/>
  <c r="BD169" i="15"/>
  <c r="AV169" i="15"/>
  <c r="AN169" i="15"/>
  <c r="AF169" i="15"/>
  <c r="X169" i="15"/>
  <c r="P169" i="15"/>
  <c r="H169" i="15"/>
  <c r="BS168" i="15"/>
  <c r="BR168" i="15"/>
  <c r="BQ168" i="15"/>
  <c r="BP168" i="15"/>
  <c r="BO168" i="15"/>
  <c r="BL168" i="15"/>
  <c r="BS167" i="15"/>
  <c r="BR167" i="15"/>
  <c r="BQ167" i="15"/>
  <c r="BP167" i="15"/>
  <c r="BO167" i="15"/>
  <c r="BL167" i="15"/>
  <c r="BD167" i="15"/>
  <c r="AV167" i="15"/>
  <c r="AN167" i="15"/>
  <c r="AF167" i="15"/>
  <c r="X167" i="15"/>
  <c r="P167" i="15"/>
  <c r="BS166" i="15"/>
  <c r="BR166" i="15"/>
  <c r="BQ166" i="15"/>
  <c r="BP166" i="15"/>
  <c r="BO166" i="15"/>
  <c r="BL166" i="15"/>
  <c r="BD166" i="15"/>
  <c r="AV166" i="15"/>
  <c r="AN166" i="15"/>
  <c r="AF166" i="15"/>
  <c r="X166" i="15"/>
  <c r="P166" i="15"/>
  <c r="BS165" i="15"/>
  <c r="BR165" i="15"/>
  <c r="BQ165" i="15"/>
  <c r="BQ171" i="15" s="1"/>
  <c r="BP165" i="15"/>
  <c r="BO165" i="15"/>
  <c r="BL165" i="15"/>
  <c r="BD165" i="15"/>
  <c r="AV165" i="15"/>
  <c r="AN165" i="15"/>
  <c r="AF165" i="15"/>
  <c r="X165" i="15"/>
  <c r="P165" i="15"/>
  <c r="H165" i="15"/>
  <c r="BS164" i="15"/>
  <c r="BR164" i="15"/>
  <c r="BQ164" i="15"/>
  <c r="BP164" i="15"/>
  <c r="BO164" i="15"/>
  <c r="BL164" i="15"/>
  <c r="BS163" i="15"/>
  <c r="BR163" i="15"/>
  <c r="BR171" i="15" s="1"/>
  <c r="BQ163" i="15"/>
  <c r="BP163" i="15"/>
  <c r="BO163" i="15"/>
  <c r="BL163" i="15"/>
  <c r="AV163" i="15"/>
  <c r="AN163" i="15"/>
  <c r="AF163" i="15"/>
  <c r="P163" i="15"/>
  <c r="H163" i="15"/>
  <c r="BS162" i="15"/>
  <c r="BR162" i="15"/>
  <c r="BQ162" i="15"/>
  <c r="BP162" i="15"/>
  <c r="BO162" i="15"/>
  <c r="BL162" i="15"/>
  <c r="BD162" i="15"/>
  <c r="AV162" i="15"/>
  <c r="AN162" i="15"/>
  <c r="P162" i="15"/>
  <c r="H162" i="15"/>
  <c r="BK159" i="15"/>
  <c r="BJ159" i="15"/>
  <c r="BI159" i="15"/>
  <c r="BH159" i="15"/>
  <c r="BG159" i="15"/>
  <c r="BF159" i="15"/>
  <c r="BC159" i="15"/>
  <c r="BB159" i="15"/>
  <c r="AE159" i="15"/>
  <c r="V159" i="15"/>
  <c r="O159" i="15"/>
  <c r="G159" i="15"/>
  <c r="BS158" i="15"/>
  <c r="BR158" i="15"/>
  <c r="BQ158" i="15"/>
  <c r="BP158" i="15"/>
  <c r="BO158" i="15"/>
  <c r="BN158" i="15"/>
  <c r="BL158" i="15"/>
  <c r="BD158" i="15"/>
  <c r="AV158" i="15"/>
  <c r="AN158" i="15"/>
  <c r="AF158" i="15"/>
  <c r="X158" i="15"/>
  <c r="P158" i="15"/>
  <c r="H158" i="15"/>
  <c r="BS157" i="15"/>
  <c r="BR157" i="15"/>
  <c r="BQ157" i="15"/>
  <c r="BP157" i="15"/>
  <c r="BO157" i="15"/>
  <c r="BL157" i="15"/>
  <c r="BS156" i="15"/>
  <c r="BR156" i="15"/>
  <c r="BQ156" i="15"/>
  <c r="BP156" i="15"/>
  <c r="BO156" i="15"/>
  <c r="BL156" i="15"/>
  <c r="BS155" i="15"/>
  <c r="BR155" i="15"/>
  <c r="BQ155" i="15"/>
  <c r="BP155" i="15"/>
  <c r="BO155" i="15"/>
  <c r="BL155" i="15"/>
  <c r="AV155" i="15"/>
  <c r="AN155" i="15"/>
  <c r="AF155" i="15"/>
  <c r="X155" i="15"/>
  <c r="P155" i="15"/>
  <c r="H155" i="15"/>
  <c r="BL154" i="15"/>
  <c r="BC154" i="15"/>
  <c r="BB154" i="15"/>
  <c r="BA154" i="15"/>
  <c r="BA159" i="15" s="1"/>
  <c r="AU154" i="15"/>
  <c r="AU159" i="15" s="1"/>
  <c r="AT154" i="15"/>
  <c r="AT159" i="15" s="1"/>
  <c r="AM154" i="15"/>
  <c r="AM159" i="15" s="1"/>
  <c r="AL154" i="15"/>
  <c r="AL159" i="15" s="1"/>
  <c r="AK154" i="15"/>
  <c r="AK159" i="15" s="1"/>
  <c r="AE154" i="15"/>
  <c r="AD154" i="15"/>
  <c r="AD159" i="15" s="1"/>
  <c r="AC154" i="15"/>
  <c r="AC159" i="15" s="1"/>
  <c r="W154" i="15"/>
  <c r="W159" i="15" s="1"/>
  <c r="V154" i="15"/>
  <c r="O154" i="15"/>
  <c r="N154" i="15"/>
  <c r="N159" i="15" s="1"/>
  <c r="G154" i="15"/>
  <c r="F154" i="15"/>
  <c r="BS153" i="15"/>
  <c r="BR153" i="15"/>
  <c r="BQ153" i="15"/>
  <c r="BP153" i="15"/>
  <c r="BN153" i="15"/>
  <c r="BL153" i="15"/>
  <c r="BS152" i="15"/>
  <c r="BR152" i="15"/>
  <c r="BQ152" i="15"/>
  <c r="BP152" i="15"/>
  <c r="BO152" i="15"/>
  <c r="BN152" i="15"/>
  <c r="BL152" i="15"/>
  <c r="BD152" i="15"/>
  <c r="AV152" i="15"/>
  <c r="AF152" i="15"/>
  <c r="X152" i="15"/>
  <c r="E151" i="15"/>
  <c r="E161" i="15" s="1"/>
  <c r="E173" i="15" s="1"/>
  <c r="BK149" i="15"/>
  <c r="BJ149" i="15"/>
  <c r="BI149" i="15"/>
  <c r="BH149" i="15"/>
  <c r="BG149" i="15"/>
  <c r="BC149" i="15"/>
  <c r="BB149" i="15"/>
  <c r="BA149" i="15"/>
  <c r="AZ149" i="15"/>
  <c r="AY149" i="15"/>
  <c r="AU149" i="15"/>
  <c r="AT149" i="15"/>
  <c r="AS149" i="15"/>
  <c r="AR149" i="15"/>
  <c r="AQ149" i="15"/>
  <c r="AM149" i="15"/>
  <c r="AL149" i="15"/>
  <c r="AK149" i="15"/>
  <c r="AJ149" i="15"/>
  <c r="AI149" i="15"/>
  <c r="AE149" i="15"/>
  <c r="AD149" i="15"/>
  <c r="AC149" i="15"/>
  <c r="AB149" i="15"/>
  <c r="AA149" i="15"/>
  <c r="W149" i="15"/>
  <c r="V149" i="15"/>
  <c r="U149" i="15"/>
  <c r="T149" i="15"/>
  <c r="S149" i="15"/>
  <c r="O149" i="15"/>
  <c r="N149" i="15"/>
  <c r="M149" i="15"/>
  <c r="L149" i="15"/>
  <c r="K149" i="15"/>
  <c r="G149" i="15"/>
  <c r="F149" i="15"/>
  <c r="E149" i="15"/>
  <c r="D149" i="15"/>
  <c r="C149" i="15"/>
  <c r="BS148" i="15"/>
  <c r="BR148" i="15"/>
  <c r="BQ148" i="15"/>
  <c r="BP148" i="15"/>
  <c r="BO148" i="15"/>
  <c r="BD148" i="15"/>
  <c r="BS147" i="15"/>
  <c r="BR147" i="15"/>
  <c r="BQ147" i="15"/>
  <c r="BQ149" i="15" s="1"/>
  <c r="BP147" i="15"/>
  <c r="BO147" i="15"/>
  <c r="BN147" i="15"/>
  <c r="BL147" i="15"/>
  <c r="BD147" i="15"/>
  <c r="AV147" i="15"/>
  <c r="AN147" i="15"/>
  <c r="AF147" i="15"/>
  <c r="X147" i="15"/>
  <c r="P147" i="15"/>
  <c r="H147" i="15"/>
  <c r="BS146" i="15"/>
  <c r="BR146" i="15"/>
  <c r="BQ146" i="15"/>
  <c r="BP146" i="15"/>
  <c r="BO146" i="15"/>
  <c r="BD146" i="15"/>
  <c r="BS145" i="15"/>
  <c r="BS149" i="15" s="1"/>
  <c r="BR145" i="15"/>
  <c r="BQ145" i="15"/>
  <c r="BP145" i="15"/>
  <c r="BO145" i="15"/>
  <c r="BS144" i="15"/>
  <c r="BR144" i="15"/>
  <c r="BQ144" i="15"/>
  <c r="BP144" i="15"/>
  <c r="BO144" i="15"/>
  <c r="BO149" i="15" s="1"/>
  <c r="BL144" i="15"/>
  <c r="E143" i="15"/>
  <c r="BS141" i="15"/>
  <c r="BQ141" i="15"/>
  <c r="BK141" i="15"/>
  <c r="BJ141" i="15"/>
  <c r="BI141" i="15"/>
  <c r="BH141" i="15"/>
  <c r="BC141" i="15"/>
  <c r="BB141" i="15"/>
  <c r="BA141" i="15"/>
  <c r="AZ141" i="15"/>
  <c r="AY141" i="15"/>
  <c r="AU141" i="15"/>
  <c r="AT141" i="15"/>
  <c r="AS141" i="15"/>
  <c r="AR141" i="15"/>
  <c r="AM141" i="15"/>
  <c r="AL141" i="15"/>
  <c r="AK141" i="15"/>
  <c r="AJ141" i="15"/>
  <c r="AE141" i="15"/>
  <c r="AD141" i="15"/>
  <c r="AC141" i="15"/>
  <c r="AB141" i="15"/>
  <c r="AA141" i="15"/>
  <c r="W141" i="15"/>
  <c r="V141" i="15"/>
  <c r="U141" i="15"/>
  <c r="T141" i="15"/>
  <c r="S141" i="15"/>
  <c r="O141" i="15"/>
  <c r="N141" i="15"/>
  <c r="M141" i="15"/>
  <c r="L141" i="15"/>
  <c r="G141" i="15"/>
  <c r="F141" i="15"/>
  <c r="E141" i="15"/>
  <c r="D141" i="15"/>
  <c r="BS140" i="15"/>
  <c r="BR140" i="15"/>
  <c r="BQ140" i="15"/>
  <c r="BP140" i="15"/>
  <c r="BN140" i="15"/>
  <c r="BG140" i="15"/>
  <c r="BG141" i="15" s="1"/>
  <c r="BD140" i="15"/>
  <c r="AQ141" i="15"/>
  <c r="AI141" i="15"/>
  <c r="AF140" i="15"/>
  <c r="X140" i="15"/>
  <c r="K141" i="15"/>
  <c r="BS139" i="15"/>
  <c r="BR139" i="15"/>
  <c r="BQ139" i="15"/>
  <c r="BP139" i="15"/>
  <c r="BO139" i="15"/>
  <c r="BD139" i="15"/>
  <c r="AV139" i="15"/>
  <c r="AN139" i="15"/>
  <c r="AF139" i="15"/>
  <c r="X139" i="15"/>
  <c r="P139" i="15"/>
  <c r="H139" i="15"/>
  <c r="BS138" i="15"/>
  <c r="BR138" i="15"/>
  <c r="BQ138" i="15"/>
  <c r="BP138" i="15"/>
  <c r="BO138" i="15"/>
  <c r="BS137" i="15"/>
  <c r="BR137" i="15"/>
  <c r="BQ137" i="15"/>
  <c r="BT137" i="15" s="1"/>
  <c r="BP137" i="15"/>
  <c r="BO137" i="15"/>
  <c r="BL137" i="15"/>
  <c r="BD137" i="15"/>
  <c r="AV137" i="15"/>
  <c r="AH137" i="15"/>
  <c r="BN137" i="15" s="1"/>
  <c r="AF137" i="15"/>
  <c r="X137" i="15"/>
  <c r="P137" i="15"/>
  <c r="H137" i="15"/>
  <c r="BS136" i="15"/>
  <c r="BR136" i="15"/>
  <c r="BQ136" i="15"/>
  <c r="BP136" i="15"/>
  <c r="BO136" i="15"/>
  <c r="BN136" i="15"/>
  <c r="BL136" i="15"/>
  <c r="BD136" i="15"/>
  <c r="AV136" i="15"/>
  <c r="AN136" i="15"/>
  <c r="AF136" i="15"/>
  <c r="X136" i="15"/>
  <c r="P136" i="15"/>
  <c r="H136" i="15"/>
  <c r="BS135" i="15"/>
  <c r="BR135" i="15"/>
  <c r="BQ135" i="15"/>
  <c r="BP135" i="15"/>
  <c r="BO135" i="15"/>
  <c r="BL135" i="15"/>
  <c r="BD135" i="15"/>
  <c r="AV135" i="15"/>
  <c r="AN135" i="15"/>
  <c r="X135" i="15"/>
  <c r="H135" i="15"/>
  <c r="AV134" i="15"/>
  <c r="AV143" i="15" s="1"/>
  <c r="AV151" i="15" s="1"/>
  <c r="AV161" i="15" s="1"/>
  <c r="AV173" i="15" s="1"/>
  <c r="AV196" i="15" s="1"/>
  <c r="AS134" i="15"/>
  <c r="AN134" i="15"/>
  <c r="AN143" i="15" s="1"/>
  <c r="AN151" i="15" s="1"/>
  <c r="AN161" i="15" s="1"/>
  <c r="AN173" i="15" s="1"/>
  <c r="AN196" i="15" s="1"/>
  <c r="BS131" i="15"/>
  <c r="BR131" i="15"/>
  <c r="BQ131" i="15"/>
  <c r="BP131" i="15"/>
  <c r="BO131" i="15"/>
  <c r="BN131" i="15"/>
  <c r="BL131" i="15"/>
  <c r="BD131" i="15"/>
  <c r="AV131" i="15"/>
  <c r="AN131" i="15"/>
  <c r="AF131" i="15"/>
  <c r="X131" i="15"/>
  <c r="P131" i="15"/>
  <c r="H131" i="15"/>
  <c r="BS130" i="15"/>
  <c r="BR130" i="15"/>
  <c r="BQ130" i="15"/>
  <c r="BP130" i="15"/>
  <c r="BO130" i="15"/>
  <c r="BL130" i="15"/>
  <c r="AV130" i="15"/>
  <c r="AN130" i="15"/>
  <c r="AF130" i="15"/>
  <c r="X130" i="15"/>
  <c r="P130" i="15"/>
  <c r="H130" i="15"/>
  <c r="BG129" i="15"/>
  <c r="BA129" i="15"/>
  <c r="AZ129" i="15"/>
  <c r="AX129" i="15"/>
  <c r="AQ129" i="15"/>
  <c r="AE129" i="15"/>
  <c r="T129" i="15"/>
  <c r="R129" i="15"/>
  <c r="O129" i="15"/>
  <c r="BA128" i="15"/>
  <c r="AS128" i="15"/>
  <c r="AM128" i="15"/>
  <c r="AK128" i="15"/>
  <c r="AE128" i="15"/>
  <c r="AB128" i="15"/>
  <c r="U128" i="15"/>
  <c r="T128" i="15"/>
  <c r="R128" i="15"/>
  <c r="J128" i="15"/>
  <c r="D128" i="15"/>
  <c r="B128" i="15"/>
  <c r="BJ126" i="15"/>
  <c r="AK132" i="15"/>
  <c r="BK125" i="15"/>
  <c r="BJ125" i="15"/>
  <c r="BJ127" i="15" s="1"/>
  <c r="BI125" i="15"/>
  <c r="BI126" i="15" s="1"/>
  <c r="BH125" i="15"/>
  <c r="BH127" i="15" s="1"/>
  <c r="BG125" i="15"/>
  <c r="BB125" i="15"/>
  <c r="BA125" i="15"/>
  <c r="AZ125" i="15"/>
  <c r="AU125" i="15"/>
  <c r="AU126" i="15" s="1"/>
  <c r="AS125" i="15"/>
  <c r="AR125" i="15"/>
  <c r="AM125" i="15"/>
  <c r="AL125" i="15"/>
  <c r="AK125" i="15"/>
  <c r="AJ125" i="15"/>
  <c r="AD125" i="15"/>
  <c r="AC125" i="15"/>
  <c r="AB125" i="15"/>
  <c r="V125" i="15"/>
  <c r="U125" i="15"/>
  <c r="T125" i="15"/>
  <c r="N125" i="15"/>
  <c r="M125" i="15"/>
  <c r="L125" i="15"/>
  <c r="E125" i="15"/>
  <c r="D125" i="15"/>
  <c r="C125" i="15"/>
  <c r="BS124" i="15"/>
  <c r="BR124" i="15"/>
  <c r="BQ124" i="15"/>
  <c r="BP124" i="15"/>
  <c r="BO124" i="15"/>
  <c r="BL124" i="15"/>
  <c r="BD124" i="15"/>
  <c r="AX124" i="15"/>
  <c r="AV124" i="15"/>
  <c r="AP124" i="15"/>
  <c r="AN124" i="15"/>
  <c r="AF124" i="15"/>
  <c r="X124" i="15"/>
  <c r="P124" i="15"/>
  <c r="H124" i="15"/>
  <c r="BP123" i="15"/>
  <c r="BK123" i="15"/>
  <c r="BL123" i="15" s="1"/>
  <c r="BC123" i="15"/>
  <c r="BC125" i="15" s="1"/>
  <c r="BD123" i="15"/>
  <c r="AN123" i="6" s="1"/>
  <c r="AU123" i="15"/>
  <c r="AT125" i="15"/>
  <c r="AT126" i="15" s="1"/>
  <c r="AV123" i="15"/>
  <c r="AH123" i="6" s="1"/>
  <c r="AM123" i="15"/>
  <c r="AN123" i="15"/>
  <c r="AE123" i="15"/>
  <c r="AE125" i="15" s="1"/>
  <c r="AF123" i="15"/>
  <c r="X123" i="15"/>
  <c r="W123" i="15"/>
  <c r="W125" i="15" s="1"/>
  <c r="O123" i="15"/>
  <c r="O125" i="15" s="1"/>
  <c r="P123" i="15"/>
  <c r="G123" i="15"/>
  <c r="F123" i="15"/>
  <c r="E123" i="15"/>
  <c r="BQ123" i="15" s="1"/>
  <c r="BS122" i="15"/>
  <c r="BR122" i="15"/>
  <c r="BQ122" i="15"/>
  <c r="BP122" i="15"/>
  <c r="BN122" i="15"/>
  <c r="BL122" i="15"/>
  <c r="BD122" i="15"/>
  <c r="H122" i="15"/>
  <c r="BS121" i="15"/>
  <c r="BR121" i="15"/>
  <c r="BQ121" i="15"/>
  <c r="BP121" i="15"/>
  <c r="BP125" i="15" s="1"/>
  <c r="BO121" i="15"/>
  <c r="AX121" i="15"/>
  <c r="BD121" i="15" s="1"/>
  <c r="X121" i="15"/>
  <c r="BS120" i="15"/>
  <c r="BR120" i="15"/>
  <c r="BQ120" i="15"/>
  <c r="BQ125" i="15" s="1"/>
  <c r="BP120" i="15"/>
  <c r="BO120" i="15"/>
  <c r="BN120" i="15"/>
  <c r="BL120" i="15"/>
  <c r="BD120" i="15"/>
  <c r="AV120" i="15"/>
  <c r="AN120" i="15"/>
  <c r="AF120" i="15"/>
  <c r="X120" i="15"/>
  <c r="P120" i="15"/>
  <c r="H120" i="15"/>
  <c r="BS119" i="15"/>
  <c r="BR119" i="15"/>
  <c r="BQ119" i="15"/>
  <c r="BP119" i="15"/>
  <c r="BO119" i="15"/>
  <c r="BL119" i="15"/>
  <c r="AT119" i="6" s="1"/>
  <c r="BD119" i="15"/>
  <c r="AV119" i="15"/>
  <c r="AN119" i="15"/>
  <c r="BA118" i="15"/>
  <c r="BA134" i="15" s="1"/>
  <c r="BA151" i="15" s="1"/>
  <c r="BA161" i="15" s="1"/>
  <c r="BA173" i="15" s="1"/>
  <c r="BA196" i="15" s="1"/>
  <c r="P118" i="15"/>
  <c r="M118" i="15"/>
  <c r="M134" i="15" s="1"/>
  <c r="H118" i="15"/>
  <c r="H134" i="15" s="1"/>
  <c r="H143" i="15" s="1"/>
  <c r="H151" i="15" s="1"/>
  <c r="H161" i="15" s="1"/>
  <c r="H173" i="15" s="1"/>
  <c r="E118" i="15"/>
  <c r="E134" i="15" s="1"/>
  <c r="BI116" i="15"/>
  <c r="AU116" i="15"/>
  <c r="AC116" i="15"/>
  <c r="BS115" i="15"/>
  <c r="BT115" i="15" s="1"/>
  <c r="BR115" i="15"/>
  <c r="BQ115" i="15"/>
  <c r="BP115" i="15"/>
  <c r="BO115" i="15"/>
  <c r="BN115" i="15"/>
  <c r="BL115" i="15"/>
  <c r="BD115" i="15"/>
  <c r="AV115" i="15"/>
  <c r="AN115" i="15"/>
  <c r="AF115" i="15"/>
  <c r="X115" i="15"/>
  <c r="P115" i="15"/>
  <c r="H115" i="15"/>
  <c r="BT114" i="15"/>
  <c r="BS114" i="15"/>
  <c r="BR114" i="15"/>
  <c r="BQ114" i="15"/>
  <c r="BP114" i="15"/>
  <c r="BO114" i="15"/>
  <c r="BN114" i="15"/>
  <c r="BL114" i="15"/>
  <c r="BD114" i="15"/>
  <c r="AV114" i="15"/>
  <c r="AN114" i="15"/>
  <c r="AF114" i="15"/>
  <c r="X114" i="15"/>
  <c r="P114" i="15"/>
  <c r="H114" i="15"/>
  <c r="BK113" i="15"/>
  <c r="BJ113" i="15"/>
  <c r="BI113" i="15"/>
  <c r="BH113" i="15"/>
  <c r="BL113" i="15" s="1"/>
  <c r="BG113" i="15"/>
  <c r="BF113" i="15"/>
  <c r="BC113" i="15"/>
  <c r="BB113" i="15"/>
  <c r="BA113" i="15"/>
  <c r="AZ113" i="15"/>
  <c r="AY113" i="15"/>
  <c r="AX113" i="15"/>
  <c r="AU113" i="15"/>
  <c r="AT113" i="15"/>
  <c r="AS113" i="15"/>
  <c r="AR113" i="15"/>
  <c r="AQ113" i="15"/>
  <c r="AP113" i="15"/>
  <c r="AM113" i="15"/>
  <c r="AL113" i="15"/>
  <c r="AK113" i="15"/>
  <c r="AJ113" i="15"/>
  <c r="AI113" i="15"/>
  <c r="AN113" i="15" s="1"/>
  <c r="AH113" i="15"/>
  <c r="AF113" i="15"/>
  <c r="AE113" i="15"/>
  <c r="AD113" i="15"/>
  <c r="AC113" i="15"/>
  <c r="AB113" i="15"/>
  <c r="AA113" i="15"/>
  <c r="Z113" i="15"/>
  <c r="W113" i="15"/>
  <c r="V113" i="15"/>
  <c r="U113" i="15"/>
  <c r="T113" i="15"/>
  <c r="S113" i="15"/>
  <c r="X113" i="15" s="1"/>
  <c r="R113" i="15"/>
  <c r="O113" i="15"/>
  <c r="N113" i="15"/>
  <c r="BR113" i="15" s="1"/>
  <c r="M113" i="15"/>
  <c r="L113" i="15"/>
  <c r="K113" i="15"/>
  <c r="G113" i="15"/>
  <c r="F113" i="15"/>
  <c r="E113" i="15"/>
  <c r="BQ113" i="15" s="1"/>
  <c r="D113" i="15"/>
  <c r="C113" i="15"/>
  <c r="B113" i="15"/>
  <c r="BK112" i="15"/>
  <c r="BJ112" i="15"/>
  <c r="BI112" i="15"/>
  <c r="BH112" i="15"/>
  <c r="BG112" i="15"/>
  <c r="BF112" i="15"/>
  <c r="BL112" i="15" s="1"/>
  <c r="BC112" i="15"/>
  <c r="BB112" i="15"/>
  <c r="BA112" i="15"/>
  <c r="AZ112" i="15"/>
  <c r="BP112" i="15" s="1"/>
  <c r="AY112" i="15"/>
  <c r="AX112" i="15"/>
  <c r="AU112" i="15"/>
  <c r="AT112" i="15"/>
  <c r="AS112" i="15"/>
  <c r="AR112" i="15"/>
  <c r="AQ112" i="15"/>
  <c r="AP112" i="15"/>
  <c r="AM112" i="15"/>
  <c r="AL112" i="15"/>
  <c r="AN112" i="15" s="1"/>
  <c r="AK112" i="15"/>
  <c r="AJ112" i="15"/>
  <c r="AI112" i="15"/>
  <c r="AH112" i="15"/>
  <c r="AE112" i="15"/>
  <c r="AD112" i="15"/>
  <c r="AC112" i="15"/>
  <c r="AB112" i="15"/>
  <c r="AA112" i="15"/>
  <c r="Z112" i="15"/>
  <c r="X112" i="15"/>
  <c r="W112" i="15"/>
  <c r="V112" i="15"/>
  <c r="U112" i="15"/>
  <c r="T112" i="15"/>
  <c r="S112" i="15"/>
  <c r="R112" i="15"/>
  <c r="O112" i="15"/>
  <c r="N112" i="15"/>
  <c r="M112" i="15"/>
  <c r="BQ112" i="15" s="1"/>
  <c r="L112" i="15"/>
  <c r="K112" i="15"/>
  <c r="H112" i="15"/>
  <c r="G112" i="15"/>
  <c r="BS112" i="15" s="1"/>
  <c r="F112" i="15"/>
  <c r="E112" i="15"/>
  <c r="D112" i="15"/>
  <c r="C112" i="15"/>
  <c r="B112" i="15"/>
  <c r="BK111" i="15"/>
  <c r="BI111" i="15"/>
  <c r="BK116" i="15"/>
  <c r="BC110" i="15"/>
  <c r="AZ110" i="15"/>
  <c r="BK109" i="15"/>
  <c r="BJ109" i="15"/>
  <c r="BJ111" i="15" s="1"/>
  <c r="BI109" i="15"/>
  <c r="BG109" i="15"/>
  <c r="BC109" i="15"/>
  <c r="BB109" i="15"/>
  <c r="BB110" i="15" s="1"/>
  <c r="BA109" i="15"/>
  <c r="BA110" i="15" s="1"/>
  <c r="AZ109" i="15"/>
  <c r="AY109" i="15"/>
  <c r="AY110" i="15" s="1"/>
  <c r="AX109" i="15"/>
  <c r="AX110" i="15" s="1"/>
  <c r="AU109" i="15"/>
  <c r="AT109" i="15"/>
  <c r="AS109" i="15"/>
  <c r="AM109" i="15"/>
  <c r="AL109" i="15"/>
  <c r="AK109" i="15"/>
  <c r="AJ109" i="15"/>
  <c r="AI109" i="15"/>
  <c r="AE109" i="15"/>
  <c r="AD109" i="15"/>
  <c r="AC109" i="15"/>
  <c r="W109" i="15"/>
  <c r="V109" i="15"/>
  <c r="U109" i="15"/>
  <c r="S109" i="15"/>
  <c r="O109" i="15"/>
  <c r="N109" i="15"/>
  <c r="M109" i="15"/>
  <c r="K109" i="15"/>
  <c r="G109" i="15"/>
  <c r="F109" i="15"/>
  <c r="E109" i="15"/>
  <c r="BS108" i="15"/>
  <c r="BR108" i="15"/>
  <c r="BQ108" i="15"/>
  <c r="BP108" i="15"/>
  <c r="BO108" i="15"/>
  <c r="BL108" i="15"/>
  <c r="BD108" i="15"/>
  <c r="AV108" i="15"/>
  <c r="AN108" i="15"/>
  <c r="AF108" i="15"/>
  <c r="X108" i="15"/>
  <c r="P108" i="15"/>
  <c r="BN108" i="15"/>
  <c r="BS107" i="15"/>
  <c r="BR107" i="15"/>
  <c r="BQ107" i="15"/>
  <c r="BP107" i="15"/>
  <c r="BO107" i="15"/>
  <c r="BL107" i="15"/>
  <c r="BD107" i="15"/>
  <c r="AV107" i="15"/>
  <c r="AN107" i="15"/>
  <c r="AF107" i="15"/>
  <c r="X107" i="15"/>
  <c r="H107" i="15"/>
  <c r="BS106" i="15"/>
  <c r="BR106" i="15"/>
  <c r="BQ106" i="15"/>
  <c r="BP106" i="15"/>
  <c r="BN106" i="15"/>
  <c r="BL106" i="15"/>
  <c r="BD106" i="15"/>
  <c r="AV106" i="15"/>
  <c r="AN106" i="15"/>
  <c r="AF106" i="15"/>
  <c r="X106" i="15"/>
  <c r="P106" i="15"/>
  <c r="BO106" i="15"/>
  <c r="H106" i="15"/>
  <c r="BS105" i="15"/>
  <c r="BR105" i="15"/>
  <c r="BQ105" i="15"/>
  <c r="BP105" i="15"/>
  <c r="BN105" i="15"/>
  <c r="BL105" i="15"/>
  <c r="BD105" i="15"/>
  <c r="AV105" i="15"/>
  <c r="AN105" i="15"/>
  <c r="AF105" i="15"/>
  <c r="X105" i="15"/>
  <c r="P105" i="15"/>
  <c r="H105" i="15"/>
  <c r="BS104" i="15"/>
  <c r="BR104" i="15"/>
  <c r="BQ104" i="15"/>
  <c r="BP104" i="15"/>
  <c r="BN104" i="15"/>
  <c r="BL104" i="15"/>
  <c r="BD104" i="15"/>
  <c r="AQ109" i="15"/>
  <c r="AN104" i="15"/>
  <c r="AF104" i="15"/>
  <c r="X104" i="15"/>
  <c r="P104" i="15"/>
  <c r="BS103" i="15"/>
  <c r="BR103" i="15"/>
  <c r="BQ103" i="15"/>
  <c r="BP103" i="15"/>
  <c r="BN103" i="15"/>
  <c r="BL103" i="15"/>
  <c r="BD103" i="15"/>
  <c r="AV103" i="15"/>
  <c r="AN103" i="15"/>
  <c r="X103" i="15"/>
  <c r="P103" i="15"/>
  <c r="H103" i="15"/>
  <c r="BS102" i="15"/>
  <c r="BR102" i="15"/>
  <c r="BQ102" i="15"/>
  <c r="BO102" i="15"/>
  <c r="BN102" i="15"/>
  <c r="BH109" i="15"/>
  <c r="BD102" i="15"/>
  <c r="AV102" i="15"/>
  <c r="AR109" i="15"/>
  <c r="AN102" i="15"/>
  <c r="AF102" i="15"/>
  <c r="AB109" i="15"/>
  <c r="X102" i="15"/>
  <c r="T109" i="15"/>
  <c r="BS101" i="15"/>
  <c r="BR101" i="15"/>
  <c r="BQ101" i="15"/>
  <c r="BP101" i="15"/>
  <c r="BO101" i="15"/>
  <c r="BL101" i="15"/>
  <c r="BD101" i="15"/>
  <c r="AV101" i="15"/>
  <c r="AN101" i="15"/>
  <c r="AF101" i="15"/>
  <c r="X101" i="15"/>
  <c r="BS100" i="15"/>
  <c r="BR100" i="15"/>
  <c r="BQ100" i="15"/>
  <c r="BP100" i="15"/>
  <c r="BO100" i="15"/>
  <c r="BL100" i="15"/>
  <c r="BD100" i="15"/>
  <c r="AV100" i="15"/>
  <c r="AN100" i="15"/>
  <c r="AF100" i="15"/>
  <c r="BN100" i="15"/>
  <c r="BT100" i="15" s="1"/>
  <c r="P100" i="15"/>
  <c r="H100" i="15"/>
  <c r="BS99" i="15"/>
  <c r="BR99" i="15"/>
  <c r="BQ99" i="15"/>
  <c r="BP99" i="15"/>
  <c r="BO99" i="15"/>
  <c r="BL99" i="15"/>
  <c r="BD99" i="15"/>
  <c r="AV99" i="15"/>
  <c r="AN99" i="15"/>
  <c r="AF99" i="15"/>
  <c r="X99" i="15"/>
  <c r="P99" i="15"/>
  <c r="H99" i="15"/>
  <c r="BS98" i="15"/>
  <c r="BR98" i="15"/>
  <c r="BQ98" i="15"/>
  <c r="BP98" i="15"/>
  <c r="BO98" i="15"/>
  <c r="BL98" i="15"/>
  <c r="BD98" i="15"/>
  <c r="AV98" i="15"/>
  <c r="AN98" i="15"/>
  <c r="AF98" i="15"/>
  <c r="P98" i="15"/>
  <c r="H98" i="15"/>
  <c r="BS97" i="15"/>
  <c r="BR97" i="15"/>
  <c r="BQ97" i="15"/>
  <c r="BP97" i="15"/>
  <c r="BO97" i="15"/>
  <c r="BN97" i="15"/>
  <c r="BL97" i="15"/>
  <c r="BD97" i="15"/>
  <c r="AV97" i="15"/>
  <c r="AN97" i="15"/>
  <c r="AF97" i="15"/>
  <c r="X97" i="15"/>
  <c r="P97" i="15"/>
  <c r="H97" i="15"/>
  <c r="BS96" i="15"/>
  <c r="BR96" i="15"/>
  <c r="BQ96" i="15"/>
  <c r="BP96" i="15"/>
  <c r="BO96" i="15"/>
  <c r="BL96" i="15"/>
  <c r="BD96" i="15"/>
  <c r="AV96" i="15"/>
  <c r="AN96" i="15"/>
  <c r="AF96" i="15"/>
  <c r="X96" i="15"/>
  <c r="P96" i="15"/>
  <c r="H96" i="15"/>
  <c r="BS95" i="15"/>
  <c r="BR95" i="15"/>
  <c r="BQ95" i="15"/>
  <c r="BP95" i="15"/>
  <c r="BO95" i="15"/>
  <c r="BN95" i="15"/>
  <c r="BT95" i="15" s="1"/>
  <c r="BL95" i="15"/>
  <c r="BD95" i="15"/>
  <c r="AV95" i="15"/>
  <c r="AN95" i="15"/>
  <c r="AF95" i="15"/>
  <c r="X95" i="15"/>
  <c r="H95" i="15"/>
  <c r="BS94" i="15"/>
  <c r="BR94" i="15"/>
  <c r="BQ94" i="15"/>
  <c r="BP94" i="15"/>
  <c r="BO94" i="15"/>
  <c r="BL94" i="15"/>
  <c r="BD94" i="15"/>
  <c r="AV94" i="15"/>
  <c r="AN94" i="15"/>
  <c r="AF94" i="15"/>
  <c r="X94" i="15"/>
  <c r="P94" i="15"/>
  <c r="BS93" i="15"/>
  <c r="BR93" i="15"/>
  <c r="BQ93" i="15"/>
  <c r="BP93" i="15"/>
  <c r="BO93" i="15"/>
  <c r="BL93" i="15"/>
  <c r="BD93" i="15"/>
  <c r="AV93" i="15"/>
  <c r="AF93" i="15"/>
  <c r="Z109" i="15"/>
  <c r="X93" i="15"/>
  <c r="P93" i="15"/>
  <c r="BA91" i="15"/>
  <c r="AV91" i="15"/>
  <c r="AV118" i="15" s="1"/>
  <c r="AN91" i="15"/>
  <c r="AN118" i="15" s="1"/>
  <c r="E91" i="15"/>
  <c r="BS88" i="15"/>
  <c r="BR88" i="15"/>
  <c r="BQ88" i="15"/>
  <c r="BN88" i="15"/>
  <c r="BL88" i="15"/>
  <c r="BK88" i="15"/>
  <c r="BJ88" i="15"/>
  <c r="BI88" i="15"/>
  <c r="BH88" i="15"/>
  <c r="BG88" i="15"/>
  <c r="BF88" i="15"/>
  <c r="BC88" i="15"/>
  <c r="BB88" i="15"/>
  <c r="BA88" i="15"/>
  <c r="AZ88" i="15"/>
  <c r="AY88" i="15"/>
  <c r="AX88" i="15"/>
  <c r="AU88" i="15"/>
  <c r="AT88" i="15"/>
  <c r="AS88" i="15"/>
  <c r="AR88" i="15"/>
  <c r="AQ88" i="15"/>
  <c r="AP88" i="15"/>
  <c r="AM88" i="15"/>
  <c r="AL88" i="15"/>
  <c r="AK88" i="15"/>
  <c r="AJ88" i="15"/>
  <c r="AI88" i="15"/>
  <c r="AH88" i="15"/>
  <c r="AE88" i="15"/>
  <c r="AD88" i="15"/>
  <c r="AC88" i="15"/>
  <c r="AB88" i="15"/>
  <c r="AA88" i="15"/>
  <c r="Z88" i="15"/>
  <c r="W88" i="15"/>
  <c r="V88" i="15"/>
  <c r="U88" i="15"/>
  <c r="T88" i="15"/>
  <c r="S88" i="15"/>
  <c r="R88" i="15"/>
  <c r="O88" i="15"/>
  <c r="N88" i="15"/>
  <c r="M88" i="15"/>
  <c r="L88" i="15"/>
  <c r="K88" i="15"/>
  <c r="J88" i="15"/>
  <c r="G88" i="15"/>
  <c r="F88" i="15"/>
  <c r="E88" i="15"/>
  <c r="D88" i="15"/>
  <c r="C88" i="15"/>
  <c r="B88" i="15"/>
  <c r="BS87" i="15"/>
  <c r="BR87" i="15"/>
  <c r="BQ87" i="15"/>
  <c r="BP87" i="15"/>
  <c r="BO87" i="15"/>
  <c r="BN87" i="15"/>
  <c r="BT87" i="15" s="1"/>
  <c r="BL87" i="15"/>
  <c r="BD87" i="15"/>
  <c r="AV87" i="15"/>
  <c r="AN87" i="15"/>
  <c r="AF87" i="15"/>
  <c r="X87" i="15"/>
  <c r="P87" i="15"/>
  <c r="H87" i="15"/>
  <c r="BS86" i="15"/>
  <c r="BR86" i="15"/>
  <c r="BQ86" i="15"/>
  <c r="BT86" i="15" s="1"/>
  <c r="BP86" i="15"/>
  <c r="BO86" i="15"/>
  <c r="BN86" i="15"/>
  <c r="BL86" i="15"/>
  <c r="BD86" i="15"/>
  <c r="BD88" i="15" s="1"/>
  <c r="AV86" i="15"/>
  <c r="AN86" i="15"/>
  <c r="AF86" i="15"/>
  <c r="X86" i="15"/>
  <c r="P86" i="15"/>
  <c r="P88" i="15" s="1"/>
  <c r="H86" i="15"/>
  <c r="H88" i="15" s="1"/>
  <c r="BS85" i="15"/>
  <c r="BR85" i="15"/>
  <c r="BQ85" i="15"/>
  <c r="BP85" i="15"/>
  <c r="BP88" i="15" s="1"/>
  <c r="BO85" i="15"/>
  <c r="BN85" i="15"/>
  <c r="BL85" i="15"/>
  <c r="BD85" i="15"/>
  <c r="AV85" i="15"/>
  <c r="AV88" i="15" s="1"/>
  <c r="AN85" i="15"/>
  <c r="AF85" i="15"/>
  <c r="X85" i="15"/>
  <c r="X88" i="15" s="1"/>
  <c r="P85" i="15"/>
  <c r="H85" i="15"/>
  <c r="BQ84" i="15"/>
  <c r="BQ91" i="15" s="1"/>
  <c r="BQ118" i="15" s="1"/>
  <c r="BQ134" i="15" s="1"/>
  <c r="BL84" i="15"/>
  <c r="BL91" i="15" s="1"/>
  <c r="BL118" i="15" s="1"/>
  <c r="BL134" i="15" s="1"/>
  <c r="BL143" i="15" s="1"/>
  <c r="BL151" i="15" s="1"/>
  <c r="BL161" i="15" s="1"/>
  <c r="BL173" i="15" s="1"/>
  <c r="BL196" i="15" s="1"/>
  <c r="BI84" i="15"/>
  <c r="BI91" i="15" s="1"/>
  <c r="BI118" i="15" s="1"/>
  <c r="BI134" i="15" s="1"/>
  <c r="BA84" i="15"/>
  <c r="AV84" i="15"/>
  <c r="BK82" i="15"/>
  <c r="BI82" i="15"/>
  <c r="BH82" i="15"/>
  <c r="BG82" i="15"/>
  <c r="BC82" i="15"/>
  <c r="BB82" i="15"/>
  <c r="BA82" i="15"/>
  <c r="AZ82" i="15"/>
  <c r="AY82" i="15"/>
  <c r="AU82" i="15"/>
  <c r="AS82" i="15"/>
  <c r="AM82" i="15"/>
  <c r="AL82" i="15"/>
  <c r="AK82" i="15"/>
  <c r="AE82" i="15"/>
  <c r="AD82" i="15"/>
  <c r="AC82" i="15"/>
  <c r="W82" i="15"/>
  <c r="V82" i="15"/>
  <c r="U82" i="15"/>
  <c r="O82" i="15"/>
  <c r="N82" i="15"/>
  <c r="M82" i="15"/>
  <c r="L82" i="15"/>
  <c r="K82" i="15"/>
  <c r="G82" i="15"/>
  <c r="E82" i="15"/>
  <c r="C82" i="15"/>
  <c r="BS81" i="15"/>
  <c r="BR81" i="15"/>
  <c r="BQ81" i="15"/>
  <c r="BP81" i="15"/>
  <c r="BO81" i="15"/>
  <c r="BN81" i="15"/>
  <c r="BL81" i="15"/>
  <c r="BD81" i="15"/>
  <c r="AR81" i="15"/>
  <c r="AV81" i="15" s="1"/>
  <c r="AJ82" i="15"/>
  <c r="AB82" i="15"/>
  <c r="P81" i="15"/>
  <c r="H81" i="15"/>
  <c r="BS80" i="15"/>
  <c r="BR80" i="15"/>
  <c r="BQ80" i="15"/>
  <c r="BO80" i="15"/>
  <c r="BN80" i="15"/>
  <c r="BL80" i="15"/>
  <c r="BD80" i="15"/>
  <c r="AV80" i="15"/>
  <c r="AN80" i="15"/>
  <c r="AF80" i="15"/>
  <c r="X80" i="15"/>
  <c r="P80" i="15"/>
  <c r="D82" i="15"/>
  <c r="BS79" i="15"/>
  <c r="BR79" i="15"/>
  <c r="BQ79" i="15"/>
  <c r="BT79" i="15" s="1"/>
  <c r="BP79" i="15"/>
  <c r="BO79" i="15"/>
  <c r="BN79" i="15"/>
  <c r="BL79" i="15"/>
  <c r="BD79" i="15"/>
  <c r="AV79" i="15"/>
  <c r="AN79" i="15"/>
  <c r="AF79" i="15"/>
  <c r="X79" i="15"/>
  <c r="P79" i="15"/>
  <c r="H79" i="15"/>
  <c r="BS78" i="15"/>
  <c r="BR78" i="15"/>
  <c r="BQ78" i="15"/>
  <c r="BP78" i="15"/>
  <c r="BO78" i="15"/>
  <c r="BL78" i="15"/>
  <c r="BD78" i="15"/>
  <c r="AV78" i="15"/>
  <c r="AN78" i="15"/>
  <c r="AF78" i="15"/>
  <c r="X78" i="15"/>
  <c r="H78" i="15"/>
  <c r="BS77" i="15"/>
  <c r="BQ77" i="15"/>
  <c r="BP77" i="15"/>
  <c r="BO77" i="15"/>
  <c r="BN77" i="15"/>
  <c r="BL77" i="15"/>
  <c r="AT77" i="6" s="1"/>
  <c r="BJ82" i="15"/>
  <c r="BD77" i="15"/>
  <c r="AN77" i="15"/>
  <c r="AF77" i="15"/>
  <c r="X77" i="15"/>
  <c r="P77" i="15"/>
  <c r="BS76" i="15"/>
  <c r="BR76" i="15"/>
  <c r="BQ76" i="15"/>
  <c r="BP76" i="15"/>
  <c r="BO76" i="15"/>
  <c r="BF76" i="15"/>
  <c r="BD76" i="15"/>
  <c r="AV76" i="15"/>
  <c r="AN76" i="15"/>
  <c r="AF76" i="15"/>
  <c r="X76" i="15"/>
  <c r="P76" i="15"/>
  <c r="H76" i="15"/>
  <c r="BS75" i="15"/>
  <c r="BR75" i="15"/>
  <c r="BQ75" i="15"/>
  <c r="BP75" i="15"/>
  <c r="BO75" i="15"/>
  <c r="BN75" i="15"/>
  <c r="BT75" i="15" s="1"/>
  <c r="BL75" i="15"/>
  <c r="BD75" i="15"/>
  <c r="AV75" i="15"/>
  <c r="AN75" i="15"/>
  <c r="AF75" i="15"/>
  <c r="X75" i="15"/>
  <c r="P75" i="15"/>
  <c r="H75" i="15"/>
  <c r="BS74" i="15"/>
  <c r="BR74" i="15"/>
  <c r="BQ74" i="15"/>
  <c r="BP74" i="15"/>
  <c r="BN74" i="15"/>
  <c r="BL74" i="15"/>
  <c r="BD74" i="15"/>
  <c r="AY74" i="15"/>
  <c r="AQ82" i="15"/>
  <c r="AN74" i="15"/>
  <c r="AI82" i="15"/>
  <c r="AF74" i="15"/>
  <c r="V74" i="6" s="1"/>
  <c r="X74" i="15"/>
  <c r="S82" i="15"/>
  <c r="P74" i="15"/>
  <c r="H74" i="15"/>
  <c r="BS73" i="15"/>
  <c r="BR73" i="15"/>
  <c r="BQ73" i="15"/>
  <c r="BP73" i="15"/>
  <c r="BO73" i="15"/>
  <c r="BN73" i="15"/>
  <c r="BL73" i="15"/>
  <c r="BD73" i="15"/>
  <c r="AN73" i="6" s="1"/>
  <c r="AV73" i="15"/>
  <c r="AH73" i="6" s="1"/>
  <c r="AN73" i="15"/>
  <c r="AB73" i="6" s="1"/>
  <c r="AA82" i="15"/>
  <c r="X73" i="15"/>
  <c r="P73" i="6" s="1"/>
  <c r="P73" i="15"/>
  <c r="J73" i="6" s="1"/>
  <c r="H73" i="15"/>
  <c r="D73" i="6" s="1"/>
  <c r="BS72" i="15"/>
  <c r="BS82" i="15" s="1"/>
  <c r="BR72" i="15"/>
  <c r="BQ72" i="15"/>
  <c r="BP72" i="15"/>
  <c r="BO72" i="15"/>
  <c r="BN72" i="15"/>
  <c r="BD72" i="15"/>
  <c r="AV72" i="15"/>
  <c r="AH72" i="6" s="1"/>
  <c r="AN72" i="15"/>
  <c r="AF72" i="15"/>
  <c r="X72" i="15"/>
  <c r="P72" i="15"/>
  <c r="H72" i="15"/>
  <c r="BS71" i="15"/>
  <c r="BR71" i="15"/>
  <c r="BQ71" i="15"/>
  <c r="BP71" i="15"/>
  <c r="BO71" i="15"/>
  <c r="BL71" i="15"/>
  <c r="BD71" i="15"/>
  <c r="AV71" i="15"/>
  <c r="AH71" i="6" s="1"/>
  <c r="AN71" i="15"/>
  <c r="AF71" i="15"/>
  <c r="X71" i="15"/>
  <c r="BN71" i="15"/>
  <c r="BT71" i="15" s="1"/>
  <c r="AZ71" i="6" s="1"/>
  <c r="H71" i="15"/>
  <c r="BS70" i="15"/>
  <c r="BR70" i="15"/>
  <c r="BQ70" i="15"/>
  <c r="BP70" i="15"/>
  <c r="BO70" i="15"/>
  <c r="BL70" i="15"/>
  <c r="AX70" i="15"/>
  <c r="BD70" i="15" s="1"/>
  <c r="AV70" i="15"/>
  <c r="AN70" i="15"/>
  <c r="AF70" i="15"/>
  <c r="X70" i="15"/>
  <c r="P70" i="15"/>
  <c r="BN70" i="15"/>
  <c r="BT70" i="15" s="1"/>
  <c r="BS69" i="15"/>
  <c r="BR69" i="15"/>
  <c r="BQ69" i="15"/>
  <c r="BQ82" i="15" s="1"/>
  <c r="BP69" i="15"/>
  <c r="BO69" i="15"/>
  <c r="BL69" i="15"/>
  <c r="BD69" i="15"/>
  <c r="AV69" i="15"/>
  <c r="AN69" i="15"/>
  <c r="AF69" i="15"/>
  <c r="X69" i="15"/>
  <c r="P69" i="15"/>
  <c r="H69" i="15"/>
  <c r="BS68" i="15"/>
  <c r="BR68" i="15"/>
  <c r="BQ68" i="15"/>
  <c r="BP68" i="15"/>
  <c r="BO68" i="15"/>
  <c r="BL68" i="15"/>
  <c r="BQ67" i="15"/>
  <c r="BI67" i="15"/>
  <c r="BA67" i="15"/>
  <c r="AV67" i="15"/>
  <c r="AS67" i="15"/>
  <c r="AS84" i="15" s="1"/>
  <c r="AS91" i="15" s="1"/>
  <c r="AS118" i="15" s="1"/>
  <c r="AK67" i="15"/>
  <c r="AK84" i="15" s="1"/>
  <c r="AK91" i="15" s="1"/>
  <c r="AK118" i="15" s="1"/>
  <c r="AK134" i="15" s="1"/>
  <c r="AF67" i="15"/>
  <c r="AF84" i="15" s="1"/>
  <c r="AF91" i="15" s="1"/>
  <c r="AF118" i="15" s="1"/>
  <c r="AF134" i="15" s="1"/>
  <c r="AF143" i="15" s="1"/>
  <c r="AF151" i="15" s="1"/>
  <c r="AF161" i="15" s="1"/>
  <c r="AF173" i="15" s="1"/>
  <c r="AF196" i="15" s="1"/>
  <c r="AC67" i="15"/>
  <c r="AC84" i="15" s="1"/>
  <c r="AC91" i="15" s="1"/>
  <c r="AC118" i="15" s="1"/>
  <c r="AC134" i="15" s="1"/>
  <c r="X67" i="15"/>
  <c r="X84" i="15" s="1"/>
  <c r="X91" i="15" s="1"/>
  <c r="X118" i="15" s="1"/>
  <c r="X134" i="15" s="1"/>
  <c r="X143" i="15" s="1"/>
  <c r="X151" i="15" s="1"/>
  <c r="X161" i="15" s="1"/>
  <c r="X173" i="15" s="1"/>
  <c r="X196" i="15" s="1"/>
  <c r="U67" i="15"/>
  <c r="U84" i="15" s="1"/>
  <c r="U91" i="15" s="1"/>
  <c r="U118" i="15" s="1"/>
  <c r="U134" i="15" s="1"/>
  <c r="P67" i="15"/>
  <c r="P84" i="15" s="1"/>
  <c r="P91" i="15" s="1"/>
  <c r="M67" i="15"/>
  <c r="M84" i="15" s="1"/>
  <c r="M91" i="15" s="1"/>
  <c r="E67" i="15"/>
  <c r="E84" i="15" s="1"/>
  <c r="V65" i="15"/>
  <c r="BI64" i="15"/>
  <c r="BH64" i="15"/>
  <c r="BG64" i="15"/>
  <c r="BC64" i="15"/>
  <c r="BC111" i="15" s="1"/>
  <c r="BC116" i="15" s="1"/>
  <c r="AU64" i="15"/>
  <c r="AS64" i="15"/>
  <c r="AR64" i="15"/>
  <c r="AQ64" i="15"/>
  <c r="AP64" i="15"/>
  <c r="AE64" i="15"/>
  <c r="AD64" i="15"/>
  <c r="AC64" i="15"/>
  <c r="AB64" i="15"/>
  <c r="AA64" i="15"/>
  <c r="W64" i="15"/>
  <c r="T64" i="15"/>
  <c r="S64" i="15"/>
  <c r="N64" i="15"/>
  <c r="L64" i="15"/>
  <c r="K64" i="15"/>
  <c r="E64" i="15"/>
  <c r="D64" i="15"/>
  <c r="C64" i="15"/>
  <c r="BL63" i="15"/>
  <c r="BJ63" i="15"/>
  <c r="BI63" i="15"/>
  <c r="BI65" i="15" s="1"/>
  <c r="BH63" i="15"/>
  <c r="BH65" i="15" s="1"/>
  <c r="BG63" i="15"/>
  <c r="AY63" i="15"/>
  <c r="AX63" i="15"/>
  <c r="AS63" i="15"/>
  <c r="AR63" i="15"/>
  <c r="AQ63" i="15"/>
  <c r="AP63" i="15"/>
  <c r="AK63" i="15"/>
  <c r="AE63" i="15"/>
  <c r="AD63" i="15"/>
  <c r="AC63" i="15"/>
  <c r="W63" i="15"/>
  <c r="V63" i="15"/>
  <c r="R63" i="15"/>
  <c r="M63" i="15"/>
  <c r="L63" i="15"/>
  <c r="G63" i="15"/>
  <c r="F63" i="15"/>
  <c r="D63" i="15"/>
  <c r="B63" i="15"/>
  <c r="BK61" i="15"/>
  <c r="BK64" i="15" s="1"/>
  <c r="BJ61" i="15"/>
  <c r="BJ64" i="15" s="1"/>
  <c r="BI61" i="15"/>
  <c r="BH61" i="15"/>
  <c r="BG61" i="15"/>
  <c r="BF61" i="15"/>
  <c r="BF64" i="15" s="1"/>
  <c r="BC61" i="15"/>
  <c r="BB61" i="15"/>
  <c r="BB64" i="15" s="1"/>
  <c r="BA61" i="15"/>
  <c r="BA64" i="15" s="1"/>
  <c r="AZ61" i="15"/>
  <c r="AZ64" i="15" s="1"/>
  <c r="AZ111" i="15" s="1"/>
  <c r="AY61" i="15"/>
  <c r="AY64" i="15" s="1"/>
  <c r="AX61" i="15"/>
  <c r="AX64" i="15" s="1"/>
  <c r="AU61" i="15"/>
  <c r="AT61" i="15"/>
  <c r="AT64" i="15" s="1"/>
  <c r="AT111" i="15" s="1"/>
  <c r="AT116" i="15" s="1"/>
  <c r="AS61" i="15"/>
  <c r="AR61" i="15"/>
  <c r="AQ61" i="15"/>
  <c r="AP61" i="15"/>
  <c r="AM61" i="15"/>
  <c r="AM64" i="15" s="1"/>
  <c r="AL61" i="15"/>
  <c r="AL64" i="15" s="1"/>
  <c r="AK61" i="15"/>
  <c r="AK64" i="15" s="1"/>
  <c r="AJ61" i="15"/>
  <c r="AJ64" i="15" s="1"/>
  <c r="AI61" i="15"/>
  <c r="AI64" i="15" s="1"/>
  <c r="AH61" i="15"/>
  <c r="AH64" i="15" s="1"/>
  <c r="AE61" i="15"/>
  <c r="AD61" i="15"/>
  <c r="AC61" i="15"/>
  <c r="AB61" i="15"/>
  <c r="AA61" i="15"/>
  <c r="Z61" i="15"/>
  <c r="Z64" i="15" s="1"/>
  <c r="W61" i="15"/>
  <c r="V61" i="15"/>
  <c r="V64" i="15" s="1"/>
  <c r="U61" i="15"/>
  <c r="U64" i="15" s="1"/>
  <c r="T61" i="15"/>
  <c r="S61" i="15"/>
  <c r="R61" i="15"/>
  <c r="R64" i="15" s="1"/>
  <c r="R111" i="15" s="1"/>
  <c r="O61" i="15"/>
  <c r="O64" i="15" s="1"/>
  <c r="N61" i="15"/>
  <c r="M61" i="15"/>
  <c r="M64" i="15" s="1"/>
  <c r="L61" i="15"/>
  <c r="K61" i="15"/>
  <c r="G61" i="15"/>
  <c r="G64" i="15" s="1"/>
  <c r="F61" i="15"/>
  <c r="F64" i="15" s="1"/>
  <c r="E61" i="15"/>
  <c r="D61" i="15"/>
  <c r="C61" i="15"/>
  <c r="B61" i="15"/>
  <c r="B64" i="15" s="1"/>
  <c r="BS60" i="15"/>
  <c r="BR60" i="15"/>
  <c r="BQ60" i="15"/>
  <c r="BP60" i="15"/>
  <c r="BO60" i="15"/>
  <c r="BN60" i="15"/>
  <c r="BT60" i="15" s="1"/>
  <c r="BL60" i="15"/>
  <c r="BD60" i="15"/>
  <c r="AV60" i="15"/>
  <c r="AN60" i="15"/>
  <c r="AF60" i="15"/>
  <c r="X60" i="15"/>
  <c r="P60" i="15"/>
  <c r="H60" i="15"/>
  <c r="BS59" i="15"/>
  <c r="BR59" i="15"/>
  <c r="BQ59" i="15"/>
  <c r="BP59" i="15"/>
  <c r="BO59" i="15"/>
  <c r="BT59" i="15" s="1"/>
  <c r="BN59" i="15"/>
  <c r="BL59" i="15"/>
  <c r="BD59" i="15"/>
  <c r="AV59" i="15"/>
  <c r="AN59" i="15"/>
  <c r="AF59" i="15"/>
  <c r="X59" i="15"/>
  <c r="P59" i="15"/>
  <c r="H59" i="15"/>
  <c r="BS58" i="15"/>
  <c r="BR58" i="15"/>
  <c r="BT58" i="15" s="1"/>
  <c r="BQ58" i="15"/>
  <c r="BP58" i="15"/>
  <c r="BO58" i="15"/>
  <c r="BN58" i="15"/>
  <c r="BL58" i="15"/>
  <c r="BD58" i="15"/>
  <c r="AV58" i="15"/>
  <c r="AN58" i="15"/>
  <c r="AF58" i="15"/>
  <c r="X58" i="15"/>
  <c r="P58" i="15"/>
  <c r="H58" i="15"/>
  <c r="BS57" i="15"/>
  <c r="BR57" i="15"/>
  <c r="BQ57" i="15"/>
  <c r="BP57" i="15"/>
  <c r="BO57" i="15"/>
  <c r="BN57" i="15"/>
  <c r="BT57" i="15" s="1"/>
  <c r="BL57" i="15"/>
  <c r="BD57" i="15"/>
  <c r="AV57" i="15"/>
  <c r="AN57" i="15"/>
  <c r="AF57" i="15"/>
  <c r="X57" i="15"/>
  <c r="P57" i="15"/>
  <c r="H57" i="15"/>
  <c r="BS56" i="15"/>
  <c r="BR56" i="15"/>
  <c r="BQ56" i="15"/>
  <c r="BP56" i="15"/>
  <c r="BO56" i="15"/>
  <c r="BN56" i="15"/>
  <c r="BT56" i="15" s="1"/>
  <c r="BL56" i="15"/>
  <c r="BD56" i="15"/>
  <c r="AV56" i="15"/>
  <c r="AN56" i="15"/>
  <c r="AF56" i="15"/>
  <c r="X56" i="15"/>
  <c r="P56" i="15"/>
  <c r="H56" i="15"/>
  <c r="BS55" i="15"/>
  <c r="BR55" i="15"/>
  <c r="BQ55" i="15"/>
  <c r="BP55" i="15"/>
  <c r="BO55" i="15"/>
  <c r="BN55" i="15"/>
  <c r="BL55" i="15"/>
  <c r="BD55" i="15"/>
  <c r="AV55" i="15"/>
  <c r="AN55" i="15"/>
  <c r="AF55" i="15"/>
  <c r="X55" i="15"/>
  <c r="P55" i="15"/>
  <c r="H55" i="15"/>
  <c r="BS54" i="15"/>
  <c r="BR54" i="15"/>
  <c r="BQ54" i="15"/>
  <c r="BT54" i="15" s="1"/>
  <c r="BP54" i="15"/>
  <c r="BO54" i="15"/>
  <c r="BN54" i="15"/>
  <c r="BL54" i="15"/>
  <c r="BD54" i="15"/>
  <c r="AV54" i="15"/>
  <c r="AN54" i="15"/>
  <c r="AF54" i="15"/>
  <c r="X54" i="15"/>
  <c r="P54" i="15"/>
  <c r="H54" i="15"/>
  <c r="BT53" i="15"/>
  <c r="BS53" i="15"/>
  <c r="BR53" i="15"/>
  <c r="BQ53" i="15"/>
  <c r="BP53" i="15"/>
  <c r="BO53" i="15"/>
  <c r="BN53" i="15"/>
  <c r="BL53" i="15"/>
  <c r="BD53" i="15"/>
  <c r="AV53" i="15"/>
  <c r="AN53" i="15"/>
  <c r="AF53" i="15"/>
  <c r="X53" i="15"/>
  <c r="P53" i="15"/>
  <c r="H53" i="15"/>
  <c r="BS52" i="15"/>
  <c r="BR52" i="15"/>
  <c r="BQ52" i="15"/>
  <c r="BP52" i="15"/>
  <c r="BO52" i="15"/>
  <c r="BN52" i="15"/>
  <c r="BL52" i="15"/>
  <c r="BD52" i="15"/>
  <c r="AV52" i="15"/>
  <c r="AN52" i="15"/>
  <c r="AF52" i="15"/>
  <c r="X52" i="15"/>
  <c r="P52" i="15"/>
  <c r="H52" i="15"/>
  <c r="BS51" i="15"/>
  <c r="BR51" i="15"/>
  <c r="BQ51" i="15"/>
  <c r="BP51" i="15"/>
  <c r="BO51" i="15"/>
  <c r="BL51" i="15"/>
  <c r="BD51" i="15"/>
  <c r="AV51" i="15"/>
  <c r="AN51" i="15"/>
  <c r="AF51" i="15"/>
  <c r="X51" i="15"/>
  <c r="J51" i="15"/>
  <c r="H51" i="15"/>
  <c r="BS50" i="15"/>
  <c r="BR50" i="15"/>
  <c r="BQ50" i="15"/>
  <c r="BP50" i="15"/>
  <c r="BO50" i="15"/>
  <c r="BN50" i="15"/>
  <c r="BT50" i="15" s="1"/>
  <c r="AZ50" i="6" s="1"/>
  <c r="BL50" i="15"/>
  <c r="BD50" i="15"/>
  <c r="AN50" i="6" s="1"/>
  <c r="AV50" i="15"/>
  <c r="AH50" i="6" s="1"/>
  <c r="AN50" i="15"/>
  <c r="AF50" i="15"/>
  <c r="X50" i="15"/>
  <c r="P50" i="15"/>
  <c r="H50" i="15"/>
  <c r="BT49" i="15"/>
  <c r="BS49" i="15"/>
  <c r="BR49" i="15"/>
  <c r="BQ49" i="15"/>
  <c r="BP49" i="15"/>
  <c r="BO49" i="15"/>
  <c r="BN49" i="15"/>
  <c r="BL49" i="15"/>
  <c r="BD49" i="15"/>
  <c r="AV49" i="15"/>
  <c r="AN49" i="15"/>
  <c r="AF49" i="15"/>
  <c r="X49" i="15"/>
  <c r="P49" i="15"/>
  <c r="H49" i="15"/>
  <c r="BS48" i="15"/>
  <c r="BR48" i="15"/>
  <c r="BQ48" i="15"/>
  <c r="BP48" i="15"/>
  <c r="BO48" i="15"/>
  <c r="BN48" i="15"/>
  <c r="BT48" i="15" s="1"/>
  <c r="BL48" i="15"/>
  <c r="BD48" i="15"/>
  <c r="AV48" i="15"/>
  <c r="AN48" i="15"/>
  <c r="AF48" i="15"/>
  <c r="X48" i="15"/>
  <c r="P48" i="15"/>
  <c r="H48" i="15"/>
  <c r="BS47" i="15"/>
  <c r="BR47" i="15"/>
  <c r="BQ47" i="15"/>
  <c r="BP47" i="15"/>
  <c r="BO47" i="15"/>
  <c r="BN47" i="15"/>
  <c r="BL47" i="15"/>
  <c r="BD47" i="15"/>
  <c r="AV47" i="15"/>
  <c r="AN47" i="15"/>
  <c r="AF47" i="15"/>
  <c r="X47" i="15"/>
  <c r="P47" i="15"/>
  <c r="H47" i="15"/>
  <c r="BS46" i="15"/>
  <c r="BR46" i="15"/>
  <c r="BT46" i="15" s="1"/>
  <c r="BQ46" i="15"/>
  <c r="BP46" i="15"/>
  <c r="BO46" i="15"/>
  <c r="BN46" i="15"/>
  <c r="BL46" i="15"/>
  <c r="BD46" i="15"/>
  <c r="AV46" i="15"/>
  <c r="AN46" i="15"/>
  <c r="AF46" i="15"/>
  <c r="X46" i="15"/>
  <c r="P46" i="15"/>
  <c r="H46" i="15"/>
  <c r="BT45" i="15"/>
  <c r="BS45" i="15"/>
  <c r="BR45" i="15"/>
  <c r="BQ45" i="15"/>
  <c r="BP45" i="15"/>
  <c r="BO45" i="15"/>
  <c r="BN45" i="15"/>
  <c r="BL45" i="15"/>
  <c r="BD45" i="15"/>
  <c r="AV45" i="15"/>
  <c r="AN45" i="15"/>
  <c r="AF45" i="15"/>
  <c r="X45" i="15"/>
  <c r="P45" i="15"/>
  <c r="H45" i="15"/>
  <c r="BS44" i="15"/>
  <c r="BR44" i="15"/>
  <c r="BQ44" i="15"/>
  <c r="BP44" i="15"/>
  <c r="BO44" i="15"/>
  <c r="BN44" i="15"/>
  <c r="BT44" i="15" s="1"/>
  <c r="BL44" i="15"/>
  <c r="BD44" i="15"/>
  <c r="AV44" i="15"/>
  <c r="AN44" i="15"/>
  <c r="AF44" i="15"/>
  <c r="X44" i="15"/>
  <c r="P44" i="15"/>
  <c r="H44" i="15"/>
  <c r="BS43" i="15"/>
  <c r="BR43" i="15"/>
  <c r="BQ43" i="15"/>
  <c r="BP43" i="15"/>
  <c r="BO43" i="15"/>
  <c r="BN43" i="15"/>
  <c r="BT43" i="15" s="1"/>
  <c r="AZ43" i="6" s="1"/>
  <c r="BL43" i="15"/>
  <c r="AT43" i="6" s="1"/>
  <c r="BD43" i="15"/>
  <c r="AV43" i="15"/>
  <c r="AN43" i="15"/>
  <c r="AF43" i="15"/>
  <c r="X43" i="15"/>
  <c r="P43" i="15"/>
  <c r="H43" i="15"/>
  <c r="BS42" i="15"/>
  <c r="BR42" i="15"/>
  <c r="BQ42" i="15"/>
  <c r="BP42" i="15"/>
  <c r="BT42" i="15" s="1"/>
  <c r="BO42" i="15"/>
  <c r="BN42" i="15"/>
  <c r="BL42" i="15"/>
  <c r="BD42" i="15"/>
  <c r="AV42" i="15"/>
  <c r="AN42" i="15"/>
  <c r="AF42" i="15"/>
  <c r="X42" i="15"/>
  <c r="P42" i="15"/>
  <c r="H42" i="15"/>
  <c r="BS41" i="15"/>
  <c r="BR41" i="15"/>
  <c r="BQ41" i="15"/>
  <c r="BP41" i="15"/>
  <c r="BO41" i="15"/>
  <c r="BN41" i="15"/>
  <c r="BL41" i="15"/>
  <c r="BD41" i="15"/>
  <c r="AV41" i="15"/>
  <c r="AN41" i="15"/>
  <c r="AF41" i="15"/>
  <c r="X41" i="15"/>
  <c r="P41" i="15"/>
  <c r="H41" i="15"/>
  <c r="BS40" i="15"/>
  <c r="BR40" i="15"/>
  <c r="BQ40" i="15"/>
  <c r="BP40" i="15"/>
  <c r="BO40" i="15"/>
  <c r="BN40" i="15"/>
  <c r="BT40" i="15" s="1"/>
  <c r="BL40" i="15"/>
  <c r="BD40" i="15"/>
  <c r="AV40" i="15"/>
  <c r="AN40" i="15"/>
  <c r="AF40" i="15"/>
  <c r="X40" i="15"/>
  <c r="P40" i="15"/>
  <c r="H40" i="15"/>
  <c r="BS39" i="15"/>
  <c r="BR39" i="15"/>
  <c r="BQ39" i="15"/>
  <c r="BP39" i="15"/>
  <c r="BO39" i="15"/>
  <c r="BN39" i="15"/>
  <c r="BL39" i="15"/>
  <c r="BD39" i="15"/>
  <c r="AV39" i="15"/>
  <c r="AN39" i="15"/>
  <c r="AF39" i="15"/>
  <c r="X39" i="15"/>
  <c r="P39" i="15"/>
  <c r="H39" i="15"/>
  <c r="BQ38" i="15"/>
  <c r="BL38" i="15"/>
  <c r="BL67" i="15" s="1"/>
  <c r="BI38" i="15"/>
  <c r="BD38" i="15"/>
  <c r="BD67" i="15" s="1"/>
  <c r="BD84" i="15" s="1"/>
  <c r="BD91" i="15" s="1"/>
  <c r="BD118" i="15" s="1"/>
  <c r="BD134" i="15" s="1"/>
  <c r="BD143" i="15" s="1"/>
  <c r="BD151" i="15" s="1"/>
  <c r="BD161" i="15" s="1"/>
  <c r="BD173" i="15" s="1"/>
  <c r="BD196" i="15" s="1"/>
  <c r="BA38" i="15"/>
  <c r="AV38" i="15"/>
  <c r="AS38" i="15"/>
  <c r="AK38" i="15"/>
  <c r="AF38" i="15"/>
  <c r="AC38" i="15"/>
  <c r="X38" i="15"/>
  <c r="U38" i="15"/>
  <c r="P38" i="15"/>
  <c r="M38" i="15"/>
  <c r="E38" i="15"/>
  <c r="BS36" i="15"/>
  <c r="BQ36" i="15"/>
  <c r="BQ63" i="15" s="1"/>
  <c r="BK36" i="15"/>
  <c r="BJ36" i="15"/>
  <c r="BJ128" i="15" s="1"/>
  <c r="BI36" i="15"/>
  <c r="BH36" i="15"/>
  <c r="BG36" i="15"/>
  <c r="BG128" i="15" s="1"/>
  <c r="BF36" i="15"/>
  <c r="BF63" i="15" s="1"/>
  <c r="BC36" i="15"/>
  <c r="BC128" i="15" s="1"/>
  <c r="BB36" i="15"/>
  <c r="BA36" i="15"/>
  <c r="BA63" i="15" s="1"/>
  <c r="BA65" i="15" s="1"/>
  <c r="AZ36" i="15"/>
  <c r="AY36" i="15"/>
  <c r="AX36" i="15"/>
  <c r="AX154" i="15" s="1"/>
  <c r="AU36" i="15"/>
  <c r="AT36" i="15"/>
  <c r="AS36" i="15"/>
  <c r="AR36" i="15"/>
  <c r="AQ36" i="15"/>
  <c r="AP36" i="15"/>
  <c r="AM36" i="15"/>
  <c r="AL36" i="15"/>
  <c r="AK36" i="15"/>
  <c r="AK129" i="15" s="1"/>
  <c r="AJ36" i="15"/>
  <c r="AI36" i="15"/>
  <c r="AH36" i="15"/>
  <c r="AF36" i="15"/>
  <c r="AF63" i="15" s="1"/>
  <c r="AE36" i="15"/>
  <c r="AD36" i="15"/>
  <c r="AC36" i="15"/>
  <c r="AC129" i="15" s="1"/>
  <c r="AB36" i="15"/>
  <c r="AB63" i="15" s="1"/>
  <c r="AA36" i="15"/>
  <c r="Z36" i="15"/>
  <c r="AF121" i="15" s="1"/>
  <c r="W36" i="15"/>
  <c r="V36" i="15"/>
  <c r="U36" i="15"/>
  <c r="T36" i="15"/>
  <c r="T154" i="15" s="1"/>
  <c r="T159" i="15" s="1"/>
  <c r="S36" i="15"/>
  <c r="R36" i="15"/>
  <c r="O36" i="15"/>
  <c r="O128" i="15" s="1"/>
  <c r="N36" i="15"/>
  <c r="M36" i="15"/>
  <c r="L36" i="15"/>
  <c r="L128" i="15" s="1"/>
  <c r="K36" i="15"/>
  <c r="J36" i="15"/>
  <c r="J63" i="15" s="1"/>
  <c r="G36" i="15"/>
  <c r="F36" i="15"/>
  <c r="E36" i="15"/>
  <c r="D36" i="15"/>
  <c r="D154" i="15" s="1"/>
  <c r="D159" i="15" s="1"/>
  <c r="C36" i="15"/>
  <c r="B36" i="15"/>
  <c r="B129" i="15" s="1"/>
  <c r="BS35" i="15"/>
  <c r="BT35" i="15" s="1"/>
  <c r="BR35" i="15"/>
  <c r="BQ35" i="15"/>
  <c r="BP35" i="15"/>
  <c r="BO35" i="15"/>
  <c r="BN35" i="15"/>
  <c r="BL35" i="15"/>
  <c r="BD35" i="15"/>
  <c r="AV35" i="15"/>
  <c r="AN35" i="15"/>
  <c r="AF35" i="15"/>
  <c r="X35" i="15"/>
  <c r="P35" i="15"/>
  <c r="H35" i="15"/>
  <c r="BS34" i="15"/>
  <c r="BR34" i="15"/>
  <c r="BQ34" i="15"/>
  <c r="BP34" i="15"/>
  <c r="BO34" i="15"/>
  <c r="BN34" i="15"/>
  <c r="BL34" i="15"/>
  <c r="BD34" i="15"/>
  <c r="AV34" i="15"/>
  <c r="AN34" i="15"/>
  <c r="AF34" i="15"/>
  <c r="X34" i="15"/>
  <c r="P34" i="15"/>
  <c r="H34" i="15"/>
  <c r="BS33" i="15"/>
  <c r="BR33" i="15"/>
  <c r="BQ33" i="15"/>
  <c r="BP33" i="15"/>
  <c r="BO33" i="15"/>
  <c r="BN33" i="15"/>
  <c r="BT33" i="15" s="1"/>
  <c r="BL33" i="15"/>
  <c r="BD33" i="15"/>
  <c r="AV33" i="15"/>
  <c r="AN33" i="15"/>
  <c r="AF33" i="15"/>
  <c r="X33" i="15"/>
  <c r="P33" i="15"/>
  <c r="H33" i="15"/>
  <c r="BS32" i="15"/>
  <c r="BR32" i="15"/>
  <c r="BQ32" i="15"/>
  <c r="BP32" i="15"/>
  <c r="BO32" i="15"/>
  <c r="BN32" i="15"/>
  <c r="BL32" i="15"/>
  <c r="BD32" i="15"/>
  <c r="AV32" i="15"/>
  <c r="AN32" i="15"/>
  <c r="AF32" i="15"/>
  <c r="X32" i="15"/>
  <c r="P32" i="15"/>
  <c r="H32" i="15"/>
  <c r="BS31" i="15"/>
  <c r="BR31" i="15"/>
  <c r="BQ31" i="15"/>
  <c r="BP31" i="15"/>
  <c r="BO31" i="15"/>
  <c r="BN31" i="15"/>
  <c r="BL31" i="15"/>
  <c r="BD31" i="15"/>
  <c r="AV31" i="15"/>
  <c r="AN31" i="15"/>
  <c r="AF31" i="15"/>
  <c r="X31" i="15"/>
  <c r="P31" i="15"/>
  <c r="H31" i="15"/>
  <c r="BT30" i="15"/>
  <c r="BS30" i="15"/>
  <c r="BR30" i="15"/>
  <c r="BQ30" i="15"/>
  <c r="BP30" i="15"/>
  <c r="BO30" i="15"/>
  <c r="BN30" i="15"/>
  <c r="BL30" i="15"/>
  <c r="BD30" i="15"/>
  <c r="AV30" i="15"/>
  <c r="AN30" i="15"/>
  <c r="AF30" i="15"/>
  <c r="X30" i="15"/>
  <c r="P30" i="15"/>
  <c r="H30" i="15"/>
  <c r="BS29" i="15"/>
  <c r="BR29" i="15"/>
  <c r="BQ29" i="15"/>
  <c r="BP29" i="15"/>
  <c r="BO29" i="15"/>
  <c r="BT29" i="15" s="1"/>
  <c r="BN29" i="15"/>
  <c r="BL29" i="15"/>
  <c r="BD29" i="15"/>
  <c r="AV29" i="15"/>
  <c r="AN29" i="15"/>
  <c r="AF29" i="15"/>
  <c r="X29" i="15"/>
  <c r="P29" i="15"/>
  <c r="H29" i="15"/>
  <c r="BS28" i="15"/>
  <c r="BR28" i="15"/>
  <c r="BQ28" i="15"/>
  <c r="BP28" i="15"/>
  <c r="BO28" i="15"/>
  <c r="BN28" i="15"/>
  <c r="BT28" i="15" s="1"/>
  <c r="BL28" i="15"/>
  <c r="BL36" i="15" s="1"/>
  <c r="BD28" i="15"/>
  <c r="AV28" i="15"/>
  <c r="AN28" i="15"/>
  <c r="AF28" i="15"/>
  <c r="X28" i="15"/>
  <c r="P28" i="15"/>
  <c r="H28" i="15"/>
  <c r="BS27" i="15"/>
  <c r="BR27" i="15"/>
  <c r="BQ27" i="15"/>
  <c r="BP27" i="15"/>
  <c r="BO27" i="15"/>
  <c r="BN27" i="15"/>
  <c r="BL27" i="15"/>
  <c r="BD27" i="15"/>
  <c r="AV27" i="15"/>
  <c r="AN27" i="15"/>
  <c r="AF27" i="15"/>
  <c r="X27" i="15"/>
  <c r="X36" i="15" s="1"/>
  <c r="X63" i="15" s="1"/>
  <c r="P27" i="15"/>
  <c r="H27" i="15"/>
  <c r="BT26" i="15"/>
  <c r="BT38" i="15" s="1"/>
  <c r="BT67" i="15" s="1"/>
  <c r="BT84" i="15" s="1"/>
  <c r="BT91" i="15" s="1"/>
  <c r="BT118" i="15" s="1"/>
  <c r="BT134" i="15" s="1"/>
  <c r="BT143" i="15" s="1"/>
  <c r="BT151" i="15" s="1"/>
  <c r="BT161" i="15" s="1"/>
  <c r="BT173" i="15" s="1"/>
  <c r="BT196" i="15" s="1"/>
  <c r="BQ26" i="15"/>
  <c r="BI26" i="15"/>
  <c r="BD26" i="15"/>
  <c r="BA26" i="15"/>
  <c r="AV26" i="15"/>
  <c r="AS26" i="15"/>
  <c r="AN26" i="15"/>
  <c r="AN38" i="15" s="1"/>
  <c r="AN67" i="15" s="1"/>
  <c r="AN84" i="15" s="1"/>
  <c r="AK26" i="15"/>
  <c r="AF26" i="15"/>
  <c r="AC26" i="15"/>
  <c r="X26" i="15"/>
  <c r="U26" i="15"/>
  <c r="P26" i="15"/>
  <c r="M26" i="15"/>
  <c r="E26" i="15"/>
  <c r="BS25" i="15"/>
  <c r="BR25" i="15"/>
  <c r="BQ25" i="15"/>
  <c r="BO25" i="15"/>
  <c r="BN25" i="15"/>
  <c r="BD25" i="15"/>
  <c r="AV25" i="15"/>
  <c r="AN25" i="15"/>
  <c r="AF25" i="15"/>
  <c r="X25" i="15"/>
  <c r="P25" i="15"/>
  <c r="BS24" i="15"/>
  <c r="BR24" i="15"/>
  <c r="BQ24" i="15"/>
  <c r="BP24" i="15"/>
  <c r="BO24" i="15"/>
  <c r="BL24" i="15"/>
  <c r="BD24" i="15"/>
  <c r="AV24" i="15"/>
  <c r="AH24" i="6" s="1"/>
  <c r="AN24" i="15"/>
  <c r="AH24" i="15"/>
  <c r="AF24" i="15"/>
  <c r="X24" i="15"/>
  <c r="J24" i="15"/>
  <c r="H24" i="15"/>
  <c r="BS23" i="15"/>
  <c r="BR23" i="15"/>
  <c r="BQ23" i="15"/>
  <c r="BP23" i="15"/>
  <c r="BO23" i="15"/>
  <c r="BN23" i="15"/>
  <c r="BT23" i="15" s="1"/>
  <c r="BL23" i="15"/>
  <c r="BD23" i="15"/>
  <c r="AV23" i="15"/>
  <c r="AN23" i="15"/>
  <c r="AF23" i="15"/>
  <c r="X23" i="15"/>
  <c r="P23" i="15"/>
  <c r="H23" i="15"/>
  <c r="BS22" i="15"/>
  <c r="BR22" i="15"/>
  <c r="BQ22" i="15"/>
  <c r="BP22" i="15"/>
  <c r="BO22" i="15"/>
  <c r="BN22" i="15"/>
  <c r="BL22" i="15"/>
  <c r="BD22" i="15"/>
  <c r="AV22" i="15"/>
  <c r="AN22" i="15"/>
  <c r="AF22" i="15"/>
  <c r="X22" i="15"/>
  <c r="P22" i="15"/>
  <c r="H22" i="15"/>
  <c r="BS21" i="15"/>
  <c r="BR21" i="15"/>
  <c r="BQ21" i="15"/>
  <c r="BP21" i="15"/>
  <c r="BO21" i="15"/>
  <c r="BT21" i="15" s="1"/>
  <c r="BN21" i="15"/>
  <c r="BL21" i="15"/>
  <c r="BD21" i="15"/>
  <c r="AV21" i="15"/>
  <c r="AN21" i="15"/>
  <c r="AF21" i="15"/>
  <c r="X21" i="15"/>
  <c r="P21" i="15"/>
  <c r="H21" i="15"/>
  <c r="BT20" i="15"/>
  <c r="BT220" i="15" s="1"/>
  <c r="BL20" i="15"/>
  <c r="BL26" i="15" s="1"/>
  <c r="BF17" i="15"/>
  <c r="AY17" i="15"/>
  <c r="AX17" i="15"/>
  <c r="AQ17" i="15"/>
  <c r="AP17" i="15"/>
  <c r="AI17" i="15"/>
  <c r="AA17" i="15"/>
  <c r="Z17" i="15"/>
  <c r="AF145" i="15" s="1"/>
  <c r="S17" i="15"/>
  <c r="K17" i="15"/>
  <c r="BN16" i="15"/>
  <c r="AZ16" i="6" s="1"/>
  <c r="BN15" i="15"/>
  <c r="AZ15" i="6" s="1"/>
  <c r="BN14" i="15"/>
  <c r="AZ14" i="6" s="1"/>
  <c r="BN13" i="15"/>
  <c r="AZ13" i="6" s="1"/>
  <c r="BN12" i="15"/>
  <c r="AZ12" i="6" s="1"/>
  <c r="BN11" i="15"/>
  <c r="AZ11" i="6" s="1"/>
  <c r="BN10" i="15"/>
  <c r="AZ10" i="6" s="1"/>
  <c r="AH9" i="15"/>
  <c r="J9" i="15"/>
  <c r="BN9" i="15" s="1"/>
  <c r="AH8" i="15"/>
  <c r="R8" i="15"/>
  <c r="J8" i="15"/>
  <c r="B8" i="15"/>
  <c r="R7" i="15"/>
  <c r="BN7" i="15" s="1"/>
  <c r="AZ7" i="6" s="1"/>
  <c r="J7" i="15"/>
  <c r="BN6" i="15"/>
  <c r="J6" i="15"/>
  <c r="J5" i="15"/>
  <c r="BN5" i="15" s="1"/>
  <c r="R4" i="15"/>
  <c r="R3" i="15" s="1"/>
  <c r="J4" i="15"/>
  <c r="BF3" i="15"/>
  <c r="AX3" i="15"/>
  <c r="AN3" i="6" s="1"/>
  <c r="AP3" i="15"/>
  <c r="AH3" i="6" s="1"/>
  <c r="Z3" i="15"/>
  <c r="J2" i="15"/>
  <c r="R2" i="15" s="1"/>
  <c r="Z2" i="15" s="1"/>
  <c r="AH2" i="15" s="1"/>
  <c r="AP2" i="15" s="1"/>
  <c r="AX2" i="15" s="1"/>
  <c r="AX126" i="5" l="1"/>
  <c r="AX127" i="5"/>
  <c r="BD65" i="5"/>
  <c r="AP65" i="6" s="1"/>
  <c r="AP64" i="6"/>
  <c r="BD116" i="4"/>
  <c r="AO116" i="6" s="1"/>
  <c r="AO111" i="6"/>
  <c r="BD82" i="5"/>
  <c r="AP82" i="6" s="1"/>
  <c r="AP68" i="6"/>
  <c r="BD82" i="4"/>
  <c r="AO82" i="6" s="1"/>
  <c r="AO68" i="6"/>
  <c r="BD171" i="4"/>
  <c r="AO171" i="6" s="1"/>
  <c r="AO170" i="6"/>
  <c r="AY153" i="15"/>
  <c r="AX178" i="15"/>
  <c r="AX145" i="15"/>
  <c r="B22" i="12"/>
  <c r="AX144" i="15"/>
  <c r="AN17" i="6"/>
  <c r="AX130" i="15"/>
  <c r="AX164" i="15"/>
  <c r="BD164" i="15" s="1"/>
  <c r="AN164" i="6" s="1"/>
  <c r="AX155" i="15"/>
  <c r="AX168" i="15"/>
  <c r="BD168" i="15" s="1"/>
  <c r="AN168" i="6" s="1"/>
  <c r="AX138" i="15"/>
  <c r="AX141" i="15" s="1"/>
  <c r="AX163" i="15"/>
  <c r="J78" i="15" s="1"/>
  <c r="AQ126" i="5"/>
  <c r="AQ127" i="5"/>
  <c r="AV125" i="4"/>
  <c r="AI125" i="6" s="1"/>
  <c r="AI122" i="6"/>
  <c r="AQ126" i="4"/>
  <c r="AQ127" i="4"/>
  <c r="AV127" i="4" s="1"/>
  <c r="AI127" i="6" s="1"/>
  <c r="AV116" i="4"/>
  <c r="AI116" i="6" s="1"/>
  <c r="AV65" i="4"/>
  <c r="AI65" i="6" s="1"/>
  <c r="BJ65" i="15"/>
  <c r="BF65" i="15"/>
  <c r="BL132" i="5"/>
  <c r="AV132" i="6" s="1"/>
  <c r="BT64" i="4"/>
  <c r="BA64" i="6" s="1"/>
  <c r="BA61" i="6"/>
  <c r="AV171" i="5"/>
  <c r="AJ171" i="6" s="1"/>
  <c r="AJ170" i="6"/>
  <c r="AV82" i="5"/>
  <c r="AJ82" i="6" s="1"/>
  <c r="AJ68" i="6"/>
  <c r="AV82" i="4"/>
  <c r="AI82" i="6" s="1"/>
  <c r="AI68" i="6"/>
  <c r="AV141" i="4"/>
  <c r="AI141" i="6" s="1"/>
  <c r="AI138" i="6"/>
  <c r="AV149" i="4"/>
  <c r="AI149" i="6" s="1"/>
  <c r="AI144" i="6"/>
  <c r="AP145" i="15"/>
  <c r="AP144" i="15"/>
  <c r="AP168" i="15"/>
  <c r="AP185" i="15"/>
  <c r="AV185" i="15" s="1"/>
  <c r="AH185" i="6" s="1"/>
  <c r="AP164" i="15"/>
  <c r="B21" i="12"/>
  <c r="AH17" i="6"/>
  <c r="AQ153" i="15"/>
  <c r="AP138" i="15"/>
  <c r="AP178" i="15"/>
  <c r="AV178" i="15" s="1"/>
  <c r="AH178" i="6" s="1"/>
  <c r="AP148" i="15"/>
  <c r="AV148" i="15" s="1"/>
  <c r="AH148" i="6" s="1"/>
  <c r="AP146" i="15"/>
  <c r="AV146" i="15" s="1"/>
  <c r="AH146" i="6" s="1"/>
  <c r="BT72" i="15"/>
  <c r="AZ72" i="6" s="1"/>
  <c r="H194" i="5"/>
  <c r="F194" i="6" s="1"/>
  <c r="F193" i="6"/>
  <c r="AF216" i="15"/>
  <c r="V216" i="6" s="1"/>
  <c r="V213" i="6"/>
  <c r="F26" i="1" s="1"/>
  <c r="AN194" i="4"/>
  <c r="AC194" i="6" s="1"/>
  <c r="AC193" i="6"/>
  <c r="BT64" i="5"/>
  <c r="BB64" i="6" s="1"/>
  <c r="BB61" i="6"/>
  <c r="AF194" i="5"/>
  <c r="X194" i="6" s="1"/>
  <c r="X193" i="6"/>
  <c r="BD159" i="5"/>
  <c r="AP159" i="6" s="1"/>
  <c r="AV149" i="5"/>
  <c r="AJ149" i="6" s="1"/>
  <c r="AJ144" i="6"/>
  <c r="AP171" i="5"/>
  <c r="AD64" i="6"/>
  <c r="AN65" i="5"/>
  <c r="AD65" i="6" s="1"/>
  <c r="AN116" i="5"/>
  <c r="AD116" i="6" s="1"/>
  <c r="AD110" i="6"/>
  <c r="AF171" i="5"/>
  <c r="X171" i="6" s="1"/>
  <c r="X164" i="6"/>
  <c r="AF149" i="5"/>
  <c r="X149" i="6" s="1"/>
  <c r="X144" i="6"/>
  <c r="AF125" i="5"/>
  <c r="X125" i="6" s="1"/>
  <c r="X122" i="6"/>
  <c r="AF127" i="5"/>
  <c r="X127" i="6" s="1"/>
  <c r="AF116" i="5"/>
  <c r="X116" i="6" s="1"/>
  <c r="AF65" i="5"/>
  <c r="X65" i="6" s="1"/>
  <c r="X65" i="5"/>
  <c r="R65" i="6" s="1"/>
  <c r="R64" i="6"/>
  <c r="R127" i="5"/>
  <c r="X149" i="5"/>
  <c r="R149" i="6" s="1"/>
  <c r="R144" i="6"/>
  <c r="X125" i="5"/>
  <c r="R125" i="6" s="1"/>
  <c r="R121" i="6"/>
  <c r="BN125" i="5"/>
  <c r="X111" i="5"/>
  <c r="R111" i="6" s="1"/>
  <c r="BP111" i="5"/>
  <c r="BP116" i="5" s="1"/>
  <c r="J110" i="5"/>
  <c r="J111" i="5"/>
  <c r="P65" i="5"/>
  <c r="L65" i="6" s="1"/>
  <c r="L64" i="6"/>
  <c r="P109" i="5"/>
  <c r="L109" i="6" s="1"/>
  <c r="L101" i="6"/>
  <c r="BN109" i="5"/>
  <c r="B127" i="5"/>
  <c r="BO116" i="5"/>
  <c r="C116" i="5"/>
  <c r="H111" i="5"/>
  <c r="BT109" i="5"/>
  <c r="AF159" i="5"/>
  <c r="X159" i="6" s="1"/>
  <c r="Z159" i="5"/>
  <c r="R171" i="5"/>
  <c r="R159" i="5"/>
  <c r="AN164" i="5"/>
  <c r="AD164" i="6" s="1"/>
  <c r="AH149" i="5"/>
  <c r="AN144" i="5"/>
  <c r="P138" i="5"/>
  <c r="J141" i="5"/>
  <c r="BN138" i="5"/>
  <c r="AH132" i="5"/>
  <c r="AN126" i="5"/>
  <c r="H149" i="5"/>
  <c r="F149" i="6" s="1"/>
  <c r="BD127" i="5"/>
  <c r="AP127" i="6" s="1"/>
  <c r="P146" i="5"/>
  <c r="L146" i="6" s="1"/>
  <c r="BN146" i="5"/>
  <c r="BT146" i="5" s="1"/>
  <c r="BB146" i="6" s="1"/>
  <c r="AX159" i="5"/>
  <c r="AH156" i="5"/>
  <c r="AN68" i="5"/>
  <c r="AN82" i="5" s="1"/>
  <c r="AD82" i="6" s="1"/>
  <c r="AH157" i="5"/>
  <c r="AN157" i="5" s="1"/>
  <c r="AN193" i="5"/>
  <c r="AD193" i="6" s="1"/>
  <c r="AH170" i="5"/>
  <c r="AN170" i="5" s="1"/>
  <c r="AH82" i="5"/>
  <c r="P164" i="5"/>
  <c r="L164" i="6" s="1"/>
  <c r="BD193" i="5"/>
  <c r="AX194" i="5"/>
  <c r="AH141" i="5"/>
  <c r="AN138" i="5"/>
  <c r="P178" i="5"/>
  <c r="L178" i="6" s="1"/>
  <c r="BN178" i="5"/>
  <c r="AV126" i="5"/>
  <c r="AJ126" i="6" s="1"/>
  <c r="AF126" i="5"/>
  <c r="X126" i="6" s="1"/>
  <c r="X159" i="5"/>
  <c r="R159" i="6" s="1"/>
  <c r="AN178" i="5"/>
  <c r="AD178" i="6" s="1"/>
  <c r="AN153" i="5"/>
  <c r="AD153" i="6" s="1"/>
  <c r="AI159" i="5"/>
  <c r="AI209" i="5" s="1"/>
  <c r="AI218" i="5" s="1"/>
  <c r="P168" i="5"/>
  <c r="L168" i="6" s="1"/>
  <c r="BN168" i="5"/>
  <c r="BT168" i="5" s="1"/>
  <c r="BB168" i="6" s="1"/>
  <c r="BP127" i="5"/>
  <c r="BP132" i="5" s="1"/>
  <c r="L132" i="5"/>
  <c r="L209" i="5" s="1"/>
  <c r="L218" i="5" s="1"/>
  <c r="BF116" i="5"/>
  <c r="BF209" i="5" s="1"/>
  <c r="BF218" i="5" s="1"/>
  <c r="BL110" i="5"/>
  <c r="BO125" i="5"/>
  <c r="BT122" i="5"/>
  <c r="AV127" i="5"/>
  <c r="AJ127" i="6" s="1"/>
  <c r="AQ116" i="5"/>
  <c r="BQ127" i="5"/>
  <c r="BQ132" i="5" s="1"/>
  <c r="BQ209" i="5" s="1"/>
  <c r="BQ218" i="5" s="1"/>
  <c r="M132" i="5"/>
  <c r="M209" i="5" s="1"/>
  <c r="M218" i="5" s="1"/>
  <c r="C209" i="5"/>
  <c r="C218" i="5" s="1"/>
  <c r="R194" i="5"/>
  <c r="J170" i="5"/>
  <c r="J171" i="5" s="1"/>
  <c r="J156" i="5"/>
  <c r="J157" i="5"/>
  <c r="J82" i="5"/>
  <c r="J193" i="5"/>
  <c r="J194" i="5" s="1"/>
  <c r="P68" i="5"/>
  <c r="P82" i="5" s="1"/>
  <c r="L82" i="6" s="1"/>
  <c r="BN68" i="5"/>
  <c r="AV193" i="5"/>
  <c r="AP194" i="5"/>
  <c r="K159" i="5"/>
  <c r="P153" i="5"/>
  <c r="L153" i="6" s="1"/>
  <c r="B132" i="5"/>
  <c r="B209" i="5" s="1"/>
  <c r="B218" i="5" s="1"/>
  <c r="BR127" i="5"/>
  <c r="BR132" i="5" s="1"/>
  <c r="BR209" i="5" s="1"/>
  <c r="BR218" i="5" s="1"/>
  <c r="J149" i="5"/>
  <c r="P144" i="5"/>
  <c r="L144" i="6" s="1"/>
  <c r="AV110" i="5"/>
  <c r="AV116" i="5" s="1"/>
  <c r="AJ116" i="6" s="1"/>
  <c r="BO153" i="5"/>
  <c r="X194" i="5"/>
  <c r="R194" i="6" s="1"/>
  <c r="AV156" i="5"/>
  <c r="AP159" i="5"/>
  <c r="BS132" i="5"/>
  <c r="BS209" i="5" s="1"/>
  <c r="BS218" i="5" s="1"/>
  <c r="BD170" i="5"/>
  <c r="AX171" i="5"/>
  <c r="H126" i="5"/>
  <c r="F126" i="6" s="1"/>
  <c r="BN144" i="5"/>
  <c r="Z132" i="5"/>
  <c r="BT154" i="5"/>
  <c r="BT129" i="5"/>
  <c r="BB129" i="6" s="1"/>
  <c r="X126" i="5"/>
  <c r="X127" i="5"/>
  <c r="R127" i="6" s="1"/>
  <c r="AH116" i="5"/>
  <c r="P145" i="5"/>
  <c r="L145" i="6" s="1"/>
  <c r="BN145" i="5"/>
  <c r="BT145" i="5" s="1"/>
  <c r="BB145" i="6" s="1"/>
  <c r="BN164" i="5"/>
  <c r="H159" i="5"/>
  <c r="R132" i="5"/>
  <c r="BL111" i="4"/>
  <c r="BT129" i="4"/>
  <c r="BA129" i="6" s="1"/>
  <c r="AN127" i="4"/>
  <c r="AN132" i="4" s="1"/>
  <c r="AN159" i="4"/>
  <c r="AH194" i="4"/>
  <c r="AH209" i="4" s="1"/>
  <c r="AH218" i="4" s="1"/>
  <c r="AF111" i="4"/>
  <c r="AF116" i="4" s="1"/>
  <c r="BS209" i="4"/>
  <c r="BS218" i="4" s="1"/>
  <c r="J111" i="4"/>
  <c r="P111" i="4" s="1"/>
  <c r="K132" i="4"/>
  <c r="BN125" i="4"/>
  <c r="BD159" i="4"/>
  <c r="AO159" i="6" s="1"/>
  <c r="AP194" i="4"/>
  <c r="B132" i="4"/>
  <c r="BP111" i="4"/>
  <c r="BN126" i="4"/>
  <c r="AV171" i="4"/>
  <c r="AI171" i="6" s="1"/>
  <c r="X178" i="4"/>
  <c r="B170" i="4"/>
  <c r="B171" i="4" s="1"/>
  <c r="B157" i="4"/>
  <c r="B82" i="4"/>
  <c r="BN68" i="4"/>
  <c r="H68" i="4"/>
  <c r="H82" i="4" s="1"/>
  <c r="E82" i="6" s="1"/>
  <c r="B156" i="4"/>
  <c r="R157" i="4"/>
  <c r="X157" i="4" s="1"/>
  <c r="R193" i="4"/>
  <c r="X193" i="4" s="1"/>
  <c r="R170" i="4"/>
  <c r="X170" i="4" s="1"/>
  <c r="R156" i="4"/>
  <c r="R82" i="4"/>
  <c r="X68" i="4"/>
  <c r="X82" i="4" s="1"/>
  <c r="Q82" i="6" s="1"/>
  <c r="BT109" i="4"/>
  <c r="AY209" i="4"/>
  <c r="AY218" i="4" s="1"/>
  <c r="BN178" i="4"/>
  <c r="H178" i="4"/>
  <c r="X127" i="4"/>
  <c r="AA209" i="4"/>
  <c r="AA218" i="4" s="1"/>
  <c r="J149" i="4"/>
  <c r="P144" i="4"/>
  <c r="P149" i="4" s="1"/>
  <c r="BN111" i="4"/>
  <c r="H126" i="4"/>
  <c r="S159" i="4"/>
  <c r="X153" i="4"/>
  <c r="BN109" i="4"/>
  <c r="BL110" i="4"/>
  <c r="BF116" i="4"/>
  <c r="Z194" i="4"/>
  <c r="BP127" i="4"/>
  <c r="BP132" i="4" s="1"/>
  <c r="D132" i="4"/>
  <c r="BT122" i="4"/>
  <c r="BO125" i="4"/>
  <c r="BD193" i="4"/>
  <c r="AX194" i="4"/>
  <c r="BN138" i="4"/>
  <c r="H138" i="4"/>
  <c r="H141" i="4" s="1"/>
  <c r="B141" i="4"/>
  <c r="AF194" i="4"/>
  <c r="W194" i="6" s="1"/>
  <c r="BH116" i="4"/>
  <c r="BH209" i="4" s="1"/>
  <c r="BH218" i="4" s="1"/>
  <c r="P110" i="4"/>
  <c r="P116" i="4" s="1"/>
  <c r="J116" i="4"/>
  <c r="BN110" i="4"/>
  <c r="BN144" i="4"/>
  <c r="H144" i="4"/>
  <c r="B149" i="4"/>
  <c r="BD127" i="4"/>
  <c r="J170" i="4"/>
  <c r="P170" i="4" s="1"/>
  <c r="J156" i="4"/>
  <c r="J157" i="4"/>
  <c r="P157" i="4" s="1"/>
  <c r="J82" i="4"/>
  <c r="P68" i="4"/>
  <c r="P82" i="4" s="1"/>
  <c r="K82" i="6" s="1"/>
  <c r="P193" i="4"/>
  <c r="K193" i="6" s="1"/>
  <c r="BN168" i="4"/>
  <c r="BT168" i="4" s="1"/>
  <c r="BA168" i="6" s="1"/>
  <c r="H168" i="4"/>
  <c r="C132" i="4"/>
  <c r="P138" i="4"/>
  <c r="P141" i="4" s="1"/>
  <c r="K141" i="6" s="1"/>
  <c r="J141" i="4"/>
  <c r="BF132" i="4"/>
  <c r="BL126" i="4"/>
  <c r="X164" i="4"/>
  <c r="H146" i="4"/>
  <c r="BN146" i="4"/>
  <c r="BT146" i="4" s="1"/>
  <c r="BA146" i="6" s="1"/>
  <c r="BP110" i="4"/>
  <c r="D116" i="4"/>
  <c r="X110" i="4"/>
  <c r="X116" i="4" s="1"/>
  <c r="R116" i="4"/>
  <c r="X144" i="4"/>
  <c r="X149" i="4" s="1"/>
  <c r="R149" i="4"/>
  <c r="H148" i="4"/>
  <c r="BN148" i="4"/>
  <c r="BT148" i="4" s="1"/>
  <c r="BA148" i="6" s="1"/>
  <c r="BN145" i="4"/>
  <c r="BT145" i="4" s="1"/>
  <c r="BA145" i="6" s="1"/>
  <c r="H145" i="4"/>
  <c r="AF156" i="4"/>
  <c r="AF159" i="4" s="1"/>
  <c r="Z159" i="4"/>
  <c r="AV159" i="4"/>
  <c r="AI159" i="6" s="1"/>
  <c r="BR127" i="4"/>
  <c r="BR132" i="4" s="1"/>
  <c r="BR209" i="4" s="1"/>
  <c r="BR218" i="4" s="1"/>
  <c r="F132" i="4"/>
  <c r="F209" i="4" s="1"/>
  <c r="F218" i="4" s="1"/>
  <c r="AP171" i="4"/>
  <c r="X138" i="4"/>
  <c r="X141" i="4" s="1"/>
  <c r="R141" i="4"/>
  <c r="BN164" i="4"/>
  <c r="H164" i="4"/>
  <c r="BQ127" i="4"/>
  <c r="BQ132" i="4" s="1"/>
  <c r="BQ209" i="4" s="1"/>
  <c r="BQ218" i="4" s="1"/>
  <c r="E132" i="4"/>
  <c r="E209" i="4" s="1"/>
  <c r="E218" i="4" s="1"/>
  <c r="AV194" i="4"/>
  <c r="AI194" i="6" s="1"/>
  <c r="H153" i="4"/>
  <c r="BO153" i="4"/>
  <c r="C159" i="4"/>
  <c r="P178" i="4"/>
  <c r="BL141" i="4"/>
  <c r="BO111" i="4"/>
  <c r="AX171" i="4"/>
  <c r="AP132" i="4"/>
  <c r="AY132" i="4"/>
  <c r="K159" i="4"/>
  <c r="P153" i="4"/>
  <c r="AX159" i="4"/>
  <c r="C116" i="4"/>
  <c r="BO110" i="4"/>
  <c r="H110" i="4"/>
  <c r="H116" i="4" s="1"/>
  <c r="AF127" i="4"/>
  <c r="AF132" i="4" s="1"/>
  <c r="BI209" i="4"/>
  <c r="BI218" i="4" s="1"/>
  <c r="P164" i="4"/>
  <c r="AP159" i="4"/>
  <c r="BL171" i="15"/>
  <c r="BT214" i="15"/>
  <c r="AZ214" i="6" s="1"/>
  <c r="AV207" i="15"/>
  <c r="BT187" i="15"/>
  <c r="AV112" i="15"/>
  <c r="AV113" i="15"/>
  <c r="BN99" i="15"/>
  <c r="BT99" i="15" s="1"/>
  <c r="BT34" i="15"/>
  <c r="AV36" i="15"/>
  <c r="AV63" i="15" s="1"/>
  <c r="BT22" i="15"/>
  <c r="BN69" i="15"/>
  <c r="BT69" i="15" s="1"/>
  <c r="AV140" i="15"/>
  <c r="AH128" i="15"/>
  <c r="AB116" i="15"/>
  <c r="R65" i="15"/>
  <c r="S116" i="15"/>
  <c r="X98" i="15"/>
  <c r="BT169" i="15"/>
  <c r="BT106" i="15"/>
  <c r="F82" i="15"/>
  <c r="BF2" i="15"/>
  <c r="BN2" i="15" s="1"/>
  <c r="AX68" i="15"/>
  <c r="AX170" i="15" s="1"/>
  <c r="BD170" i="15" s="1"/>
  <c r="AN170" i="6" s="1"/>
  <c r="BL61" i="15"/>
  <c r="P36" i="15"/>
  <c r="P63" i="15" s="1"/>
  <c r="BN94" i="15"/>
  <c r="BT94" i="15" s="1"/>
  <c r="H94" i="15"/>
  <c r="BP126" i="15"/>
  <c r="AH3" i="15"/>
  <c r="AH17" i="15"/>
  <c r="AH109" i="15"/>
  <c r="AN93" i="15"/>
  <c r="AN109" i="15" s="1"/>
  <c r="AV109" i="15"/>
  <c r="BN119" i="15"/>
  <c r="Z125" i="15"/>
  <c r="BT120" i="15"/>
  <c r="BN123" i="15"/>
  <c r="H123" i="15"/>
  <c r="AS151" i="15"/>
  <c r="AS161" i="15" s="1"/>
  <c r="AS173" i="15" s="1"/>
  <c r="AS196" i="15" s="1"/>
  <c r="AS143" i="15"/>
  <c r="BD155" i="15"/>
  <c r="AN155" i="6" s="1"/>
  <c r="BN155" i="15"/>
  <c r="BT155" i="15" s="1"/>
  <c r="AZ155" i="6" s="1"/>
  <c r="AB132" i="15"/>
  <c r="AB65" i="15"/>
  <c r="BQ151" i="15"/>
  <c r="BQ161" i="15" s="1"/>
  <c r="BQ173" i="15" s="1"/>
  <c r="BQ196" i="15" s="1"/>
  <c r="BQ143" i="15"/>
  <c r="AF119" i="15"/>
  <c r="BN4" i="15"/>
  <c r="J3" i="15"/>
  <c r="J17" i="15"/>
  <c r="G127" i="15"/>
  <c r="AX156" i="15"/>
  <c r="BD156" i="15" s="1"/>
  <c r="AN156" i="6" s="1"/>
  <c r="AX157" i="15"/>
  <c r="BD157" i="15" s="1"/>
  <c r="AN157" i="6" s="1"/>
  <c r="BD110" i="15"/>
  <c r="E116" i="15"/>
  <c r="BQ110" i="15"/>
  <c r="BD68" i="15"/>
  <c r="AT128" i="15"/>
  <c r="AT129" i="15"/>
  <c r="AT63" i="15"/>
  <c r="AT127" i="15" s="1"/>
  <c r="BS61" i="15"/>
  <c r="BS64" i="15" s="1"/>
  <c r="BL82" i="15"/>
  <c r="AT82" i="6" s="1"/>
  <c r="AQ116" i="15"/>
  <c r="AD116" i="15"/>
  <c r="BQ126" i="15"/>
  <c r="AN61" i="15"/>
  <c r="AN64" i="15" s="1"/>
  <c r="X61" i="15"/>
  <c r="X64" i="15" s="1"/>
  <c r="X65" i="15" s="1"/>
  <c r="BT41" i="15"/>
  <c r="J112" i="15"/>
  <c r="P112" i="15" s="1"/>
  <c r="P101" i="15"/>
  <c r="J113" i="15"/>
  <c r="P51" i="15"/>
  <c r="P61" i="15" s="1"/>
  <c r="P64" i="15" s="1"/>
  <c r="J61" i="15"/>
  <c r="J64" i="15" s="1"/>
  <c r="J65" i="15" s="1"/>
  <c r="BN51" i="15"/>
  <c r="BT51" i="15" s="1"/>
  <c r="L65" i="15"/>
  <c r="AV104" i="15"/>
  <c r="BQ216" i="15"/>
  <c r="BT212" i="15"/>
  <c r="AZ212" i="6" s="1"/>
  <c r="C128" i="15"/>
  <c r="C129" i="15"/>
  <c r="C63" i="15"/>
  <c r="S128" i="15"/>
  <c r="X128" i="15" s="1"/>
  <c r="S63" i="15"/>
  <c r="S129" i="15"/>
  <c r="X129" i="15" s="1"/>
  <c r="AV61" i="15"/>
  <c r="H61" i="15"/>
  <c r="H64" i="15" s="1"/>
  <c r="BR61" i="15"/>
  <c r="BR64" i="15" s="1"/>
  <c r="G65" i="15"/>
  <c r="AC143" i="15"/>
  <c r="AC151" i="15"/>
  <c r="AC161" i="15" s="1"/>
  <c r="AC173" i="15" s="1"/>
  <c r="AC196" i="15" s="1"/>
  <c r="BT39" i="15"/>
  <c r="BN61" i="15"/>
  <c r="BN64" i="15" s="1"/>
  <c r="BD61" i="15"/>
  <c r="BP36" i="15"/>
  <c r="BP63" i="15" s="1"/>
  <c r="BP65" i="15" s="1"/>
  <c r="BT27" i="15"/>
  <c r="AN36" i="15"/>
  <c r="AN63" i="15" s="1"/>
  <c r="E129" i="15"/>
  <c r="E128" i="15"/>
  <c r="H128" i="15" s="1"/>
  <c r="E154" i="15"/>
  <c r="E63" i="15"/>
  <c r="BO61" i="15"/>
  <c r="BO64" i="15" s="1"/>
  <c r="AK151" i="15"/>
  <c r="AK161" i="15" s="1"/>
  <c r="AK173" i="15" s="1"/>
  <c r="AK196" i="15" s="1"/>
  <c r="AK143" i="15"/>
  <c r="BP61" i="15"/>
  <c r="BP64" i="15" s="1"/>
  <c r="AP65" i="15"/>
  <c r="F65" i="15"/>
  <c r="BS63" i="15"/>
  <c r="BS65" i="15" s="1"/>
  <c r="H36" i="15"/>
  <c r="H63" i="15" s="1"/>
  <c r="BR36" i="15"/>
  <c r="BR63" i="15" s="1"/>
  <c r="AQ65" i="15"/>
  <c r="M65" i="15"/>
  <c r="AX111" i="15"/>
  <c r="AX116" i="15" s="1"/>
  <c r="AR65" i="15"/>
  <c r="BT73" i="15"/>
  <c r="AZ73" i="6" s="1"/>
  <c r="BT81" i="15"/>
  <c r="N116" i="15"/>
  <c r="BR110" i="15"/>
  <c r="AJ116" i="15"/>
  <c r="T116" i="15"/>
  <c r="P134" i="15"/>
  <c r="P143" i="15"/>
  <c r="P151" i="15" s="1"/>
  <c r="P161" i="15" s="1"/>
  <c r="P173" i="15" s="1"/>
  <c r="P196" i="15" s="1"/>
  <c r="BD125" i="15"/>
  <c r="AN125" i="6" s="1"/>
  <c r="AV122" i="15"/>
  <c r="AH122" i="6" s="1"/>
  <c r="AQ125" i="15"/>
  <c r="F125" i="15"/>
  <c r="BR123" i="15"/>
  <c r="BR125" i="15" s="1"/>
  <c r="BT186" i="15"/>
  <c r="AV145" i="15"/>
  <c r="AH145" i="6" s="1"/>
  <c r="AV168" i="15"/>
  <c r="AH168" i="6" s="1"/>
  <c r="AP68" i="15"/>
  <c r="BB129" i="15"/>
  <c r="BD129" i="15" s="1"/>
  <c r="AN129" i="6" s="1"/>
  <c r="BB128" i="15"/>
  <c r="BB63" i="15"/>
  <c r="BS111" i="15"/>
  <c r="AY111" i="15"/>
  <c r="AY116" i="15" s="1"/>
  <c r="AS65" i="15"/>
  <c r="W65" i="15"/>
  <c r="AR116" i="15"/>
  <c r="AA109" i="15"/>
  <c r="AF110" i="15" s="1"/>
  <c r="BO103" i="15"/>
  <c r="BT103" i="15" s="1"/>
  <c r="AF103" i="15"/>
  <c r="AF109" i="15" s="1"/>
  <c r="O116" i="15"/>
  <c r="U116" i="15"/>
  <c r="G125" i="15"/>
  <c r="BS123" i="15"/>
  <c r="BL159" i="15"/>
  <c r="BN165" i="15"/>
  <c r="BT165" i="15" s="1"/>
  <c r="AV176" i="15"/>
  <c r="BT184" i="15"/>
  <c r="BN76" i="15"/>
  <c r="BT76" i="15" s="1"/>
  <c r="BL76" i="15"/>
  <c r="BF82" i="15"/>
  <c r="AT82" i="15"/>
  <c r="AV77" i="15"/>
  <c r="BR77" i="15"/>
  <c r="BR82" i="15" s="1"/>
  <c r="K116" i="15"/>
  <c r="BG126" i="15"/>
  <c r="BG127" i="15"/>
  <c r="M116" i="15"/>
  <c r="BB116" i="15"/>
  <c r="M143" i="15"/>
  <c r="M151" i="15"/>
  <c r="M161" i="15" s="1"/>
  <c r="M173" i="15" s="1"/>
  <c r="M196" i="15" s="1"/>
  <c r="BO194" i="15"/>
  <c r="BP207" i="15"/>
  <c r="BT55" i="15"/>
  <c r="X110" i="15"/>
  <c r="AL116" i="15"/>
  <c r="BK126" i="15"/>
  <c r="BK127" i="15"/>
  <c r="BT175" i="15"/>
  <c r="BR194" i="15"/>
  <c r="AM116" i="15"/>
  <c r="W116" i="15"/>
  <c r="BL121" i="15"/>
  <c r="BL125" i="15" s="1"/>
  <c r="AT125" i="6" s="1"/>
  <c r="BF125" i="15"/>
  <c r="P128" i="15"/>
  <c r="H152" i="15"/>
  <c r="P175" i="15"/>
  <c r="L194" i="15"/>
  <c r="P180" i="15"/>
  <c r="BN8" i="15"/>
  <c r="AZ8" i="6" s="1"/>
  <c r="B3" i="15"/>
  <c r="N128" i="15"/>
  <c r="N129" i="15"/>
  <c r="N63" i="15"/>
  <c r="BB111" i="15"/>
  <c r="X100" i="15"/>
  <c r="X109" i="15" s="1"/>
  <c r="H101" i="15"/>
  <c r="BT108" i="15"/>
  <c r="AS116" i="15"/>
  <c r="BO140" i="15"/>
  <c r="C141" i="15"/>
  <c r="B17" i="15"/>
  <c r="BN36" i="15"/>
  <c r="BN63" i="15" s="1"/>
  <c r="AD128" i="15"/>
  <c r="AD129" i="15"/>
  <c r="AR128" i="15"/>
  <c r="AR154" i="15"/>
  <c r="AR159" i="15" s="1"/>
  <c r="AR129" i="15"/>
  <c r="BH128" i="15"/>
  <c r="BH129" i="15"/>
  <c r="AF61" i="15"/>
  <c r="AF64" i="15" s="1"/>
  <c r="AF65" i="15" s="1"/>
  <c r="AC132" i="15"/>
  <c r="AC209" i="15" s="1"/>
  <c r="AC218" i="15" s="1"/>
  <c r="AC65" i="15"/>
  <c r="U143" i="15"/>
  <c r="U151" i="15"/>
  <c r="U161" i="15" s="1"/>
  <c r="U173" i="15" s="1"/>
  <c r="U196" i="15" s="1"/>
  <c r="BO105" i="15"/>
  <c r="BT105" i="15" s="1"/>
  <c r="H108" i="15"/>
  <c r="BO112" i="15"/>
  <c r="AF112" i="15"/>
  <c r="BP113" i="15"/>
  <c r="H140" i="15"/>
  <c r="P206" i="15"/>
  <c r="BN206" i="15"/>
  <c r="BT206" i="15" s="1"/>
  <c r="AA128" i="15"/>
  <c r="AA129" i="15"/>
  <c r="BC129" i="15"/>
  <c r="BC63" i="15"/>
  <c r="V116" i="15"/>
  <c r="BT152" i="15"/>
  <c r="M128" i="15"/>
  <c r="M154" i="15"/>
  <c r="M159" i="15" s="1"/>
  <c r="M129" i="15"/>
  <c r="AB154" i="15"/>
  <c r="AB159" i="15" s="1"/>
  <c r="AB129" i="15"/>
  <c r="AP129" i="15"/>
  <c r="BF129" i="15"/>
  <c r="BL129" i="15" s="1"/>
  <c r="AT129" i="6" s="1"/>
  <c r="BF128" i="15"/>
  <c r="BL128" i="15" s="1"/>
  <c r="AT128" i="6" s="1"/>
  <c r="BA111" i="15"/>
  <c r="BQ111" i="15" s="1"/>
  <c r="AA63" i="15"/>
  <c r="BO36" i="15"/>
  <c r="BO63" i="15" s="1"/>
  <c r="BI128" i="15"/>
  <c r="BI129" i="15"/>
  <c r="BT47" i="15"/>
  <c r="BT52" i="15"/>
  <c r="AD132" i="15"/>
  <c r="AD65" i="15"/>
  <c r="BG65" i="15"/>
  <c r="T82" i="15"/>
  <c r="X81" i="15"/>
  <c r="BI143" i="15"/>
  <c r="BI151" i="15"/>
  <c r="BI161" i="15" s="1"/>
  <c r="BI173" i="15" s="1"/>
  <c r="BI196" i="15" s="1"/>
  <c r="BO88" i="15"/>
  <c r="BT85" i="15"/>
  <c r="BT88" i="15" s="1"/>
  <c r="BT97" i="15"/>
  <c r="BS125" i="15"/>
  <c r="BD144" i="15"/>
  <c r="BO104" i="15"/>
  <c r="BT104" i="15" s="1"/>
  <c r="C109" i="15"/>
  <c r="AK116" i="15"/>
  <c r="AK209" i="15" s="1"/>
  <c r="AK218" i="15" s="1"/>
  <c r="BO207" i="15"/>
  <c r="X200" i="15"/>
  <c r="X207" i="15" s="1"/>
  <c r="R207" i="15"/>
  <c r="BN200" i="15"/>
  <c r="BT200" i="15" s="1"/>
  <c r="F129" i="15"/>
  <c r="H129" i="15" s="1"/>
  <c r="F128" i="15"/>
  <c r="AU129" i="15"/>
  <c r="AU63" i="15"/>
  <c r="BN93" i="15"/>
  <c r="B109" i="15"/>
  <c r="BF109" i="15"/>
  <c r="BP102" i="15"/>
  <c r="BT102" i="15" s="1"/>
  <c r="BH111" i="15"/>
  <c r="H104" i="15"/>
  <c r="D109" i="15"/>
  <c r="BS110" i="15"/>
  <c r="G116" i="15"/>
  <c r="AZ116" i="15"/>
  <c r="P135" i="15"/>
  <c r="BN135" i="15"/>
  <c r="G129" i="15"/>
  <c r="G128" i="15"/>
  <c r="AN154" i="15"/>
  <c r="AI128" i="15"/>
  <c r="AN128" i="15" s="1"/>
  <c r="BK129" i="15"/>
  <c r="BK128" i="15"/>
  <c r="BK63" i="15"/>
  <c r="BK65" i="15" s="1"/>
  <c r="AN88" i="15"/>
  <c r="H93" i="15"/>
  <c r="H102" i="15"/>
  <c r="BL102" i="15"/>
  <c r="BL109" i="15" s="1"/>
  <c r="BJ129" i="15"/>
  <c r="BJ132" i="15" s="1"/>
  <c r="BJ194" i="15"/>
  <c r="BL192" i="15"/>
  <c r="BS207" i="15"/>
  <c r="P24" i="15"/>
  <c r="BN24" i="15"/>
  <c r="BT24" i="15" s="1"/>
  <c r="AZ24" i="6" s="1"/>
  <c r="BD36" i="15"/>
  <c r="BD63" i="15" s="1"/>
  <c r="V129" i="15"/>
  <c r="V128" i="15"/>
  <c r="V132" i="15" s="1"/>
  <c r="AJ154" i="15"/>
  <c r="AJ159" i="15" s="1"/>
  <c r="AJ128" i="15"/>
  <c r="AJ129" i="15"/>
  <c r="BD154" i="15"/>
  <c r="B65" i="15"/>
  <c r="AH63" i="15"/>
  <c r="AX65" i="15"/>
  <c r="H70" i="15"/>
  <c r="P71" i="15"/>
  <c r="AV74" i="15"/>
  <c r="H80" i="15"/>
  <c r="BP80" i="15"/>
  <c r="BT80" i="15" s="1"/>
  <c r="AN81" i="15"/>
  <c r="L109" i="15"/>
  <c r="P102" i="15"/>
  <c r="AI116" i="15"/>
  <c r="BO113" i="15"/>
  <c r="AH129" i="15"/>
  <c r="Z141" i="15"/>
  <c r="AF135" i="15"/>
  <c r="AN140" i="15"/>
  <c r="W194" i="15"/>
  <c r="X191" i="15"/>
  <c r="BN205" i="15"/>
  <c r="BT205" i="15" s="1"/>
  <c r="BT31" i="15"/>
  <c r="J129" i="15"/>
  <c r="P121" i="15"/>
  <c r="W129" i="15"/>
  <c r="W128" i="15"/>
  <c r="W132" i="15" s="1"/>
  <c r="AY129" i="15"/>
  <c r="AY128" i="15"/>
  <c r="AI63" i="15"/>
  <c r="AY65" i="15"/>
  <c r="AF73" i="15"/>
  <c r="V73" i="6" s="1"/>
  <c r="BO74" i="15"/>
  <c r="BT74" i="15" s="1"/>
  <c r="L222" i="15"/>
  <c r="AR82" i="15"/>
  <c r="BQ109" i="15"/>
  <c r="P95" i="15"/>
  <c r="H113" i="15"/>
  <c r="H119" i="15"/>
  <c r="BA132" i="15"/>
  <c r="AU128" i="15"/>
  <c r="AI129" i="15"/>
  <c r="BA143" i="15"/>
  <c r="H205" i="15"/>
  <c r="BD109" i="15"/>
  <c r="BR111" i="15"/>
  <c r="AE116" i="15"/>
  <c r="R17" i="15"/>
  <c r="AF164" i="15"/>
  <c r="AF138" i="15"/>
  <c r="AF168" i="15"/>
  <c r="AF178" i="15"/>
  <c r="Z68" i="15"/>
  <c r="AF146" i="15"/>
  <c r="AF148" i="15"/>
  <c r="K128" i="15"/>
  <c r="K63" i="15"/>
  <c r="AL129" i="15"/>
  <c r="AL128" i="15"/>
  <c r="AL63" i="15"/>
  <c r="AZ154" i="15"/>
  <c r="AZ159" i="15" s="1"/>
  <c r="AZ128" i="15"/>
  <c r="BP128" i="15" s="1"/>
  <c r="AZ63" i="15"/>
  <c r="D65" i="15"/>
  <c r="T63" i="15"/>
  <c r="AJ63" i="15"/>
  <c r="X111" i="15"/>
  <c r="BR109" i="15"/>
  <c r="BN107" i="15"/>
  <c r="BT107" i="15" s="1"/>
  <c r="P107" i="15"/>
  <c r="BN124" i="15"/>
  <c r="BT124" i="15" s="1"/>
  <c r="K129" i="15"/>
  <c r="L154" i="15"/>
  <c r="L159" i="15" s="1"/>
  <c r="BN162" i="15"/>
  <c r="AF207" i="15"/>
  <c r="BL216" i="15"/>
  <c r="BF146" i="15"/>
  <c r="BL146" i="15" s="1"/>
  <c r="BF139" i="15"/>
  <c r="BF145" i="15"/>
  <c r="BF148" i="15"/>
  <c r="BL148" i="15" s="1"/>
  <c r="BF138" i="15"/>
  <c r="BQ61" i="15"/>
  <c r="BQ64" i="15" s="1"/>
  <c r="BQ65" i="15" s="1"/>
  <c r="AF81" i="15"/>
  <c r="U129" i="15"/>
  <c r="U154" i="15"/>
  <c r="U159" i="15" s="1"/>
  <c r="BT32" i="15"/>
  <c r="Z129" i="15"/>
  <c r="Z128" i="15"/>
  <c r="Z63" i="15"/>
  <c r="AM129" i="15"/>
  <c r="AM63" i="15"/>
  <c r="U63" i="15"/>
  <c r="AK65" i="15"/>
  <c r="BS109" i="15"/>
  <c r="BJ116" i="15"/>
  <c r="BG111" i="15"/>
  <c r="BG116" i="15" s="1"/>
  <c r="BR112" i="15"/>
  <c r="BD112" i="15"/>
  <c r="R125" i="15"/>
  <c r="R126" i="15" s="1"/>
  <c r="L132" i="15"/>
  <c r="AX128" i="15"/>
  <c r="L129" i="15"/>
  <c r="BS171" i="15"/>
  <c r="BN179" i="15"/>
  <c r="BT179" i="15" s="1"/>
  <c r="H179" i="15"/>
  <c r="BT190" i="15"/>
  <c r="AH207" i="15"/>
  <c r="AF88" i="15"/>
  <c r="AP109" i="15"/>
  <c r="BS113" i="15"/>
  <c r="BD113" i="15"/>
  <c r="AC128" i="15"/>
  <c r="BT181" i="15"/>
  <c r="Z207" i="15"/>
  <c r="BN198" i="15"/>
  <c r="BT198" i="15" s="1"/>
  <c r="B207" i="15"/>
  <c r="H198" i="15"/>
  <c r="BT213" i="15"/>
  <c r="AZ213" i="6" s="1"/>
  <c r="BN216" i="15"/>
  <c r="BO123" i="15"/>
  <c r="BR141" i="15"/>
  <c r="BD163" i="15"/>
  <c r="AN163" i="6" s="1"/>
  <c r="BN166" i="15"/>
  <c r="BT166" i="15" s="1"/>
  <c r="BN202" i="15"/>
  <c r="BT202" i="15" s="1"/>
  <c r="H202" i="15"/>
  <c r="X216" i="15"/>
  <c r="P216" i="6" s="1"/>
  <c r="BD145" i="15"/>
  <c r="AN145" i="6" s="1"/>
  <c r="BO154" i="15"/>
  <c r="AQ128" i="15"/>
  <c r="O63" i="15"/>
  <c r="AE65" i="15"/>
  <c r="F116" i="15"/>
  <c r="AY125" i="15"/>
  <c r="AE132" i="15"/>
  <c r="BT131" i="15"/>
  <c r="P140" i="15"/>
  <c r="BL140" i="15"/>
  <c r="BT147" i="15"/>
  <c r="F159" i="15"/>
  <c r="BR154" i="15"/>
  <c r="BR159" i="15" s="1"/>
  <c r="H166" i="15"/>
  <c r="BN177" i="15"/>
  <c r="BT177" i="15" s="1"/>
  <c r="BL207" i="15"/>
  <c r="AF162" i="15"/>
  <c r="AS154" i="15"/>
  <c r="AS159" i="15" s="1"/>
  <c r="AS129" i="15"/>
  <c r="P119" i="15"/>
  <c r="BH126" i="15"/>
  <c r="D129" i="15"/>
  <c r="H167" i="15"/>
  <c r="BN167" i="15"/>
  <c r="BT167" i="15" s="1"/>
  <c r="AN197" i="15"/>
  <c r="AN207" i="15" s="1"/>
  <c r="J207" i="15"/>
  <c r="BN98" i="15"/>
  <c r="BT98" i="15" s="1"/>
  <c r="BI127" i="15"/>
  <c r="BR149" i="15"/>
  <c r="X163" i="15"/>
  <c r="BN163" i="15"/>
  <c r="BT163" i="15" s="1"/>
  <c r="AZ163" i="6" s="1"/>
  <c r="AV181" i="15"/>
  <c r="AR194" i="15"/>
  <c r="BN199" i="15"/>
  <c r="BT199" i="15" s="1"/>
  <c r="H199" i="15"/>
  <c r="AN216" i="15"/>
  <c r="AB216" i="6" s="1"/>
  <c r="X119" i="15"/>
  <c r="AX125" i="15"/>
  <c r="AX126" i="15" s="1"/>
  <c r="AN137" i="15"/>
  <c r="AN152" i="15"/>
  <c r="X174" i="15"/>
  <c r="BS194" i="15"/>
  <c r="BL194" i="15"/>
  <c r="AT194" i="6" s="1"/>
  <c r="BN185" i="15"/>
  <c r="BT185" i="15" s="1"/>
  <c r="AZ185" i="6" s="1"/>
  <c r="P152" i="15"/>
  <c r="BS154" i="15"/>
  <c r="BS159" i="15" s="1"/>
  <c r="BO171" i="15"/>
  <c r="BP180" i="15"/>
  <c r="BP194" i="15" s="1"/>
  <c r="H180" i="15"/>
  <c r="BP141" i="15"/>
  <c r="BT136" i="15"/>
  <c r="BP149" i="15"/>
  <c r="P174" i="15"/>
  <c r="BN174" i="15"/>
  <c r="BQ194" i="15"/>
  <c r="D194" i="15"/>
  <c r="BR207" i="15"/>
  <c r="BS216" i="15"/>
  <c r="BN197" i="15"/>
  <c r="H197" i="15"/>
  <c r="BN203" i="15"/>
  <c r="BT203" i="15" s="1"/>
  <c r="BT158" i="15"/>
  <c r="AF181" i="15"/>
  <c r="AB194" i="15"/>
  <c r="BS191" i="15"/>
  <c r="BT191" i="15" s="1"/>
  <c r="BO216" i="15"/>
  <c r="X162" i="15"/>
  <c r="BN176" i="15"/>
  <c r="BT176" i="15" s="1"/>
  <c r="BT189" i="15"/>
  <c r="P191" i="15"/>
  <c r="BQ207" i="15"/>
  <c r="P201" i="15"/>
  <c r="AV216" i="15"/>
  <c r="AH216" i="6" s="1"/>
  <c r="BD132" i="4" l="1"/>
  <c r="AO132" i="6" s="1"/>
  <c r="AO127" i="6"/>
  <c r="BD64" i="15"/>
  <c r="AN64" i="6" s="1"/>
  <c r="AN61" i="6"/>
  <c r="AX127" i="15"/>
  <c r="BD171" i="5"/>
  <c r="AP171" i="6" s="1"/>
  <c r="AP170" i="6"/>
  <c r="BD194" i="4"/>
  <c r="AO194" i="6" s="1"/>
  <c r="AO193" i="6"/>
  <c r="BD138" i="15"/>
  <c r="BD149" i="15"/>
  <c r="AN149" i="6" s="1"/>
  <c r="AN144" i="6"/>
  <c r="BD82" i="15"/>
  <c r="AN82" i="6" s="1"/>
  <c r="AN68" i="6"/>
  <c r="AY159" i="15"/>
  <c r="BD153" i="15"/>
  <c r="AN153" i="6" s="1"/>
  <c r="BT125" i="5"/>
  <c r="BB125" i="6" s="1"/>
  <c r="H16" i="1" s="1"/>
  <c r="BB122" i="6"/>
  <c r="BT125" i="4"/>
  <c r="BA125" i="6" s="1"/>
  <c r="G16" i="1" s="1"/>
  <c r="BA122" i="6"/>
  <c r="AQ127" i="15"/>
  <c r="AQ126" i="15"/>
  <c r="AQ132" i="15" s="1"/>
  <c r="AV64" i="15"/>
  <c r="AH64" i="6" s="1"/>
  <c r="AH61" i="6"/>
  <c r="BF127" i="15"/>
  <c r="BF126" i="15"/>
  <c r="BN128" i="15"/>
  <c r="BL64" i="15"/>
  <c r="AT61" i="6"/>
  <c r="BT65" i="5"/>
  <c r="BB65" i="6" s="1"/>
  <c r="BT65" i="4"/>
  <c r="BA65" i="6" s="1"/>
  <c r="BL132" i="4"/>
  <c r="AU132" i="6" s="1"/>
  <c r="AU126" i="6"/>
  <c r="AV159" i="5"/>
  <c r="AJ159" i="6" s="1"/>
  <c r="AJ156" i="6"/>
  <c r="B23" i="12"/>
  <c r="C21" i="12"/>
  <c r="D21" i="12" s="1"/>
  <c r="BL116" i="5"/>
  <c r="AV110" i="6"/>
  <c r="BD194" i="5"/>
  <c r="AP194" i="6" s="1"/>
  <c r="AP193" i="6"/>
  <c r="AV194" i="5"/>
  <c r="AJ194" i="6" s="1"/>
  <c r="AJ193" i="6"/>
  <c r="AQ132" i="5"/>
  <c r="AQ209" i="5" s="1"/>
  <c r="AQ218" i="5" s="1"/>
  <c r="AV132" i="5"/>
  <c r="AJ132" i="6" s="1"/>
  <c r="AN149" i="5"/>
  <c r="AD149" i="6" s="1"/>
  <c r="AD144" i="6"/>
  <c r="AN141" i="5"/>
  <c r="AD141" i="6" s="1"/>
  <c r="AD138" i="6"/>
  <c r="AN132" i="5"/>
  <c r="AD132" i="6" s="1"/>
  <c r="AD126" i="6"/>
  <c r="Z209" i="5"/>
  <c r="Z218" i="5" s="1"/>
  <c r="AA132" i="5"/>
  <c r="AA209" i="5" s="1"/>
  <c r="AA218" i="5" s="1"/>
  <c r="X116" i="5"/>
  <c r="R116" i="6" s="1"/>
  <c r="R209" i="5"/>
  <c r="R218" i="5" s="1"/>
  <c r="X132" i="5"/>
  <c r="R132" i="6" s="1"/>
  <c r="R126" i="6"/>
  <c r="P141" i="5"/>
  <c r="L141" i="6" s="1"/>
  <c r="L138" i="6"/>
  <c r="H116" i="5"/>
  <c r="F116" i="6" s="1"/>
  <c r="F111" i="6"/>
  <c r="BO127" i="5"/>
  <c r="P127" i="5"/>
  <c r="L127" i="6" s="1"/>
  <c r="AN171" i="5"/>
  <c r="AD171" i="6" s="1"/>
  <c r="AP209" i="5"/>
  <c r="AP218" i="5" s="1"/>
  <c r="BP209" i="5"/>
  <c r="BP218" i="5" s="1"/>
  <c r="P111" i="5"/>
  <c r="L111" i="6" s="1"/>
  <c r="BN111" i="5"/>
  <c r="BT111" i="5" s="1"/>
  <c r="BB111" i="6" s="1"/>
  <c r="BT138" i="5"/>
  <c r="BN141" i="5"/>
  <c r="P171" i="5"/>
  <c r="L171" i="6" s="1"/>
  <c r="P170" i="5"/>
  <c r="BN170" i="5"/>
  <c r="BT170" i="5" s="1"/>
  <c r="BB170" i="6" s="1"/>
  <c r="BT164" i="5"/>
  <c r="BB164" i="6" s="1"/>
  <c r="AN194" i="5"/>
  <c r="AD194" i="6" s="1"/>
  <c r="P149" i="5"/>
  <c r="L149" i="6" s="1"/>
  <c r="P157" i="5"/>
  <c r="BN157" i="5"/>
  <c r="BT157" i="5" s="1"/>
  <c r="BB157" i="6" s="1"/>
  <c r="P156" i="5"/>
  <c r="P159" i="5" s="1"/>
  <c r="L159" i="6" s="1"/>
  <c r="J159" i="5"/>
  <c r="BN156" i="5"/>
  <c r="AX132" i="5"/>
  <c r="AX209" i="5" s="1"/>
  <c r="AX218" i="5" s="1"/>
  <c r="BD126" i="5"/>
  <c r="BT178" i="5"/>
  <c r="BB178" i="6" s="1"/>
  <c r="S132" i="5"/>
  <c r="S209" i="5" s="1"/>
  <c r="S218" i="5" s="1"/>
  <c r="BN127" i="5"/>
  <c r="H127" i="5"/>
  <c r="K132" i="5"/>
  <c r="K209" i="5" s="1"/>
  <c r="K218" i="5" s="1"/>
  <c r="BO126" i="5"/>
  <c r="P126" i="5"/>
  <c r="AH171" i="5"/>
  <c r="P110" i="5"/>
  <c r="J116" i="5"/>
  <c r="BN110" i="5"/>
  <c r="BN149" i="5"/>
  <c r="BT144" i="5"/>
  <c r="BT153" i="5"/>
  <c r="BB153" i="6" s="1"/>
  <c r="BO159" i="5"/>
  <c r="BT68" i="5"/>
  <c r="BN82" i="5"/>
  <c r="AH194" i="5"/>
  <c r="AN156" i="5"/>
  <c r="AN159" i="5" s="1"/>
  <c r="AD159" i="6" s="1"/>
  <c r="AH159" i="5"/>
  <c r="P193" i="5"/>
  <c r="P194" i="5" s="1"/>
  <c r="L194" i="6" s="1"/>
  <c r="BN193" i="5"/>
  <c r="BT193" i="5" s="1"/>
  <c r="BB193" i="6" s="1"/>
  <c r="BN126" i="5"/>
  <c r="AF132" i="5"/>
  <c r="BL116" i="4"/>
  <c r="BF209" i="4"/>
  <c r="BF218" i="4" s="1"/>
  <c r="BD209" i="4"/>
  <c r="AN209" i="4"/>
  <c r="AI132" i="4"/>
  <c r="AI209" i="4" s="1"/>
  <c r="AI218" i="4" s="1"/>
  <c r="AH110" i="15"/>
  <c r="AH111" i="15"/>
  <c r="AN111" i="15" s="1"/>
  <c r="BO127" i="4"/>
  <c r="K209" i="4"/>
  <c r="K218" i="4" s="1"/>
  <c r="P127" i="4"/>
  <c r="BO116" i="4"/>
  <c r="D209" i="4"/>
  <c r="D218" i="4" s="1"/>
  <c r="C209" i="4"/>
  <c r="C218" i="4" s="1"/>
  <c r="X194" i="4"/>
  <c r="R171" i="4"/>
  <c r="Z209" i="4"/>
  <c r="Z218" i="4" s="1"/>
  <c r="X171" i="4"/>
  <c r="BN149" i="4"/>
  <c r="BT144" i="4"/>
  <c r="BT164" i="4"/>
  <c r="BA164" i="6" s="1"/>
  <c r="BN116" i="4"/>
  <c r="BT110" i="4"/>
  <c r="AX209" i="4"/>
  <c r="AX218" i="4" s="1"/>
  <c r="BT178" i="4"/>
  <c r="BA178" i="6" s="1"/>
  <c r="BO159" i="4"/>
  <c r="BT153" i="4"/>
  <c r="BA153" i="6" s="1"/>
  <c r="AP209" i="4"/>
  <c r="AP218" i="4" s="1"/>
  <c r="BT111" i="4"/>
  <c r="BA111" i="6" s="1"/>
  <c r="BT68" i="4"/>
  <c r="BN82" i="4"/>
  <c r="P126" i="4"/>
  <c r="J132" i="4"/>
  <c r="X156" i="4"/>
  <c r="X159" i="4" s="1"/>
  <c r="R159" i="4"/>
  <c r="BN127" i="4"/>
  <c r="BT127" i="4" s="1"/>
  <c r="BA127" i="6" s="1"/>
  <c r="H127" i="4"/>
  <c r="H132" i="4" s="1"/>
  <c r="P156" i="4"/>
  <c r="J159" i="4"/>
  <c r="P159" i="4"/>
  <c r="BP116" i="4"/>
  <c r="BP209" i="4" s="1"/>
  <c r="BP218" i="4" s="1"/>
  <c r="AF209" i="4"/>
  <c r="BN193" i="4"/>
  <c r="BT193" i="4" s="1"/>
  <c r="BA193" i="6" s="1"/>
  <c r="H193" i="4"/>
  <c r="J171" i="4"/>
  <c r="J194" i="4"/>
  <c r="S132" i="4"/>
  <c r="S209" i="4" s="1"/>
  <c r="S218" i="4" s="1"/>
  <c r="BO126" i="4"/>
  <c r="BO132" i="4" s="1"/>
  <c r="X126" i="4"/>
  <c r="X132" i="4" s="1"/>
  <c r="BN156" i="4"/>
  <c r="H156" i="4"/>
  <c r="B159" i="4"/>
  <c r="BN157" i="4"/>
  <c r="BT157" i="4" s="1"/>
  <c r="BA157" i="6" s="1"/>
  <c r="H157" i="4"/>
  <c r="BN170" i="4"/>
  <c r="BT170" i="4" s="1"/>
  <c r="BA170" i="6" s="1"/>
  <c r="H170" i="4"/>
  <c r="H171" i="4" s="1"/>
  <c r="P171" i="4"/>
  <c r="P194" i="4"/>
  <c r="K194" i="6" s="1"/>
  <c r="H149" i="4"/>
  <c r="BT138" i="4"/>
  <c r="BN141" i="4"/>
  <c r="B194" i="4"/>
  <c r="AQ132" i="4"/>
  <c r="AQ209" i="4" s="1"/>
  <c r="AQ218" i="4" s="1"/>
  <c r="AV126" i="4"/>
  <c r="R194" i="4"/>
  <c r="BD159" i="15"/>
  <c r="AN159" i="6" s="1"/>
  <c r="BT77" i="15"/>
  <c r="AZ77" i="6" s="1"/>
  <c r="F11" i="1" s="1"/>
  <c r="BR128" i="15"/>
  <c r="AP110" i="15"/>
  <c r="AP111" i="15"/>
  <c r="AV111" i="15" s="1"/>
  <c r="AH111" i="6" s="1"/>
  <c r="BT216" i="15"/>
  <c r="AZ216" i="6" s="1"/>
  <c r="BN129" i="15"/>
  <c r="AD209" i="15"/>
  <c r="AD218" i="15" s="1"/>
  <c r="R127" i="15"/>
  <c r="V209" i="15"/>
  <c r="V218" i="15" s="1"/>
  <c r="P207" i="15"/>
  <c r="P109" i="15"/>
  <c r="BP109" i="15"/>
  <c r="F127" i="15"/>
  <c r="F126" i="15"/>
  <c r="BO109" i="15"/>
  <c r="H109" i="15"/>
  <c r="B116" i="15"/>
  <c r="BD171" i="15"/>
  <c r="AN171" i="6" s="1"/>
  <c r="AX159" i="15"/>
  <c r="AX193" i="15"/>
  <c r="BD193" i="15" s="1"/>
  <c r="AN193" i="6" s="1"/>
  <c r="AX82" i="15"/>
  <c r="AE209" i="15"/>
  <c r="AE218" i="15" s="1"/>
  <c r="K65" i="15"/>
  <c r="AH65" i="15"/>
  <c r="AI125" i="15"/>
  <c r="AN122" i="15"/>
  <c r="P122" i="15"/>
  <c r="P125" i="15" s="1"/>
  <c r="K125" i="15"/>
  <c r="BO122" i="15"/>
  <c r="BT174" i="15"/>
  <c r="O65" i="15"/>
  <c r="O132" i="15"/>
  <c r="O209" i="15" s="1"/>
  <c r="O218" i="15" s="1"/>
  <c r="AJ132" i="15"/>
  <c r="AJ209" i="15" s="1"/>
  <c r="AJ218" i="15" s="1"/>
  <c r="AJ65" i="15"/>
  <c r="BT119" i="15"/>
  <c r="AZ119" i="6" s="1"/>
  <c r="BF141" i="15"/>
  <c r="BL138" i="15"/>
  <c r="AI65" i="15"/>
  <c r="W209" i="15"/>
  <c r="W218" i="15" s="1"/>
  <c r="BT135" i="15"/>
  <c r="AV128" i="15"/>
  <c r="AH128" i="6" s="1"/>
  <c r="X116" i="15"/>
  <c r="AP170" i="15"/>
  <c r="AV170" i="15" s="1"/>
  <c r="AH170" i="6" s="1"/>
  <c r="AP156" i="15"/>
  <c r="AV156" i="15" s="1"/>
  <c r="AH156" i="6" s="1"/>
  <c r="AP157" i="15"/>
  <c r="AV157" i="15" s="1"/>
  <c r="AH157" i="6" s="1"/>
  <c r="AV68" i="15"/>
  <c r="AP82" i="15"/>
  <c r="BR126" i="15"/>
  <c r="H111" i="15"/>
  <c r="BR65" i="15"/>
  <c r="BQ129" i="15"/>
  <c r="BP154" i="15"/>
  <c r="BP159" i="15" s="1"/>
  <c r="BN121" i="15"/>
  <c r="BT121" i="15" s="1"/>
  <c r="AZ121" i="6" s="1"/>
  <c r="H121" i="15"/>
  <c r="H125" i="15" s="1"/>
  <c r="U132" i="15"/>
  <c r="U209" i="15" s="1"/>
  <c r="U218" i="15" s="1"/>
  <c r="U65" i="15"/>
  <c r="D132" i="15"/>
  <c r="BH116" i="15"/>
  <c r="AV154" i="15"/>
  <c r="AF122" i="15"/>
  <c r="AF125" i="15" s="1"/>
  <c r="AA125" i="15"/>
  <c r="BN101" i="15"/>
  <c r="BT101" i="15" s="1"/>
  <c r="J109" i="15"/>
  <c r="AP141" i="15"/>
  <c r="AV138" i="15"/>
  <c r="H65" i="15"/>
  <c r="AN65" i="15"/>
  <c r="BT61" i="15"/>
  <c r="S65" i="15"/>
  <c r="BD116" i="15"/>
  <c r="AN116" i="6" s="1"/>
  <c r="BN154" i="15"/>
  <c r="H154" i="15"/>
  <c r="AM65" i="15"/>
  <c r="AM132" i="15"/>
  <c r="AM209" i="15" s="1"/>
  <c r="AM218" i="15" s="1"/>
  <c r="BF149" i="15"/>
  <c r="BL145" i="15"/>
  <c r="BL149" i="15" s="1"/>
  <c r="AZ132" i="15"/>
  <c r="AZ209" i="15" s="1"/>
  <c r="AZ218" i="15" s="1"/>
  <c r="AZ65" i="15"/>
  <c r="Z170" i="15"/>
  <c r="AF170" i="15" s="1"/>
  <c r="AF171" i="15" s="1"/>
  <c r="AF68" i="15"/>
  <c r="AF82" i="15" s="1"/>
  <c r="V82" i="6" s="1"/>
  <c r="Z156" i="15"/>
  <c r="Z82" i="15"/>
  <c r="Z157" i="15"/>
  <c r="AF157" i="15" s="1"/>
  <c r="AF141" i="15"/>
  <c r="BP82" i="15"/>
  <c r="AV129" i="15"/>
  <c r="AH129" i="6" s="1"/>
  <c r="AF111" i="15"/>
  <c r="AF116" i="15" s="1"/>
  <c r="AR132" i="15"/>
  <c r="AR209" i="15" s="1"/>
  <c r="AR218" i="15" s="1"/>
  <c r="BT36" i="15"/>
  <c r="BT63" i="15" s="1"/>
  <c r="X122" i="15"/>
  <c r="X125" i="15" s="1"/>
  <c r="S125" i="15"/>
  <c r="AN110" i="15"/>
  <c r="AP149" i="15"/>
  <c r="AV144" i="15"/>
  <c r="AV164" i="15"/>
  <c r="AH164" i="6" s="1"/>
  <c r="BR116" i="15"/>
  <c r="BS127" i="15"/>
  <c r="X168" i="15"/>
  <c r="X145" i="15"/>
  <c r="R68" i="15"/>
  <c r="X146" i="15"/>
  <c r="X148" i="15"/>
  <c r="BS116" i="15"/>
  <c r="BK132" i="15"/>
  <c r="BK209" i="15" s="1"/>
  <c r="BK218" i="15" s="1"/>
  <c r="BB65" i="15"/>
  <c r="BB132" i="15"/>
  <c r="BB209" i="15" s="1"/>
  <c r="BB218" i="15" s="1"/>
  <c r="E65" i="15"/>
  <c r="P146" i="15"/>
  <c r="P148" i="15"/>
  <c r="L17" i="15"/>
  <c r="J68" i="15"/>
  <c r="P168" i="15"/>
  <c r="P145" i="15"/>
  <c r="BS128" i="15"/>
  <c r="BP110" i="15"/>
  <c r="BT140" i="15"/>
  <c r="BO141" i="15"/>
  <c r="BG132" i="15"/>
  <c r="BG209" i="15" s="1"/>
  <c r="BG218" i="15" s="1"/>
  <c r="Z116" i="15"/>
  <c r="BQ154" i="15"/>
  <c r="BQ159" i="15" s="1"/>
  <c r="E159" i="15"/>
  <c r="P113" i="15"/>
  <c r="BN113" i="15"/>
  <c r="BT113" i="15" s="1"/>
  <c r="AB209" i="15"/>
  <c r="AB218" i="15" s="1"/>
  <c r="BN78" i="15"/>
  <c r="BT78" i="15" s="1"/>
  <c r="AZ78" i="6" s="1"/>
  <c r="F12" i="1" s="1"/>
  <c r="P78" i="15"/>
  <c r="J78" i="6" s="1"/>
  <c r="T132" i="15"/>
  <c r="T209" i="15" s="1"/>
  <c r="T218" i="15" s="1"/>
  <c r="T65" i="15"/>
  <c r="BJ209" i="15"/>
  <c r="BJ218" i="15" s="1"/>
  <c r="BS129" i="15"/>
  <c r="BO110" i="15"/>
  <c r="AP125" i="15"/>
  <c r="AV121" i="15"/>
  <c r="BC127" i="15"/>
  <c r="BC132" i="15" s="1"/>
  <c r="BC209" i="15" s="1"/>
  <c r="BC218" i="15" s="1"/>
  <c r="BC65" i="15"/>
  <c r="BL127" i="15"/>
  <c r="AT127" i="6" s="1"/>
  <c r="R116" i="15"/>
  <c r="BA116" i="15"/>
  <c r="BA209" i="15" s="1"/>
  <c r="BA218" i="15" s="1"/>
  <c r="BQ128" i="15"/>
  <c r="BQ116" i="15"/>
  <c r="BN17" i="15"/>
  <c r="AZ17" i="6" s="1"/>
  <c r="F5" i="1" s="1"/>
  <c r="BN3" i="15"/>
  <c r="AZ3" i="6" s="1"/>
  <c r="BD126" i="15"/>
  <c r="AN126" i="6" s="1"/>
  <c r="BN130" i="15"/>
  <c r="BT130" i="15" s="1"/>
  <c r="AZ130" i="6" s="1"/>
  <c r="BD130" i="15"/>
  <c r="AN130" i="6" s="1"/>
  <c r="BL139" i="15"/>
  <c r="BN139" i="15"/>
  <c r="BT139" i="15" s="1"/>
  <c r="BL111" i="15"/>
  <c r="BD111" i="15"/>
  <c r="AN111" i="6" s="1"/>
  <c r="AT65" i="15"/>
  <c r="AT132" i="15"/>
  <c r="AT209" i="15" s="1"/>
  <c r="AT218" i="15" s="1"/>
  <c r="H207" i="15"/>
  <c r="BI132" i="15"/>
  <c r="BI209" i="15" s="1"/>
  <c r="BI218" i="15" s="1"/>
  <c r="AY132" i="15"/>
  <c r="AY209" i="15" s="1"/>
  <c r="AY218" i="15" s="1"/>
  <c r="Z65" i="15"/>
  <c r="AF144" i="15"/>
  <c r="AF149" i="15" s="1"/>
  <c r="Z149" i="15"/>
  <c r="AN129" i="15"/>
  <c r="AX149" i="15"/>
  <c r="BO65" i="15"/>
  <c r="BO82" i="15"/>
  <c r="BN207" i="15"/>
  <c r="BT197" i="15"/>
  <c r="BT207" i="15" s="1"/>
  <c r="BD178" i="15"/>
  <c r="AX194" i="15"/>
  <c r="AF128" i="15"/>
  <c r="AL132" i="15"/>
  <c r="AL209" i="15" s="1"/>
  <c r="AL218" i="15" s="1"/>
  <c r="AL65" i="15"/>
  <c r="P154" i="15"/>
  <c r="B125" i="15"/>
  <c r="BT93" i="15"/>
  <c r="BN65" i="15"/>
  <c r="AV153" i="15"/>
  <c r="AH153" i="6" s="1"/>
  <c r="AQ159" i="15"/>
  <c r="M132" i="15"/>
  <c r="M209" i="15" s="1"/>
  <c r="M218" i="15" s="1"/>
  <c r="C65" i="15"/>
  <c r="AN168" i="15"/>
  <c r="AN148" i="15"/>
  <c r="AN145" i="15"/>
  <c r="AN146" i="15"/>
  <c r="AH68" i="15"/>
  <c r="P129" i="15"/>
  <c r="BD65" i="15"/>
  <c r="AN65" i="6" s="1"/>
  <c r="BD127" i="15"/>
  <c r="AN127" i="6" s="1"/>
  <c r="C17" i="15"/>
  <c r="B68" i="15"/>
  <c r="AS132" i="15"/>
  <c r="AS209" i="15" s="1"/>
  <c r="AS218" i="15" s="1"/>
  <c r="BO129" i="15"/>
  <c r="BT162" i="15"/>
  <c r="N132" i="15"/>
  <c r="N209" i="15" s="1"/>
  <c r="N218" i="15" s="1"/>
  <c r="N65" i="15"/>
  <c r="AF126" i="15"/>
  <c r="X154" i="15"/>
  <c r="BR129" i="15"/>
  <c r="BD128" i="15"/>
  <c r="AN128" i="6" s="1"/>
  <c r="BP129" i="15"/>
  <c r="AH125" i="15"/>
  <c r="AN121" i="15"/>
  <c r="H110" i="15"/>
  <c r="BH132" i="15"/>
  <c r="BH209" i="15" s="1"/>
  <c r="BH218" i="15" s="1"/>
  <c r="BN112" i="15"/>
  <c r="BT112" i="15" s="1"/>
  <c r="P65" i="15"/>
  <c r="AF129" i="15"/>
  <c r="L116" i="15"/>
  <c r="L209" i="15" s="1"/>
  <c r="L218" i="15" s="1"/>
  <c r="BT180" i="15"/>
  <c r="J125" i="15"/>
  <c r="AX171" i="15"/>
  <c r="AA159" i="15"/>
  <c r="AF153" i="15"/>
  <c r="AU127" i="15"/>
  <c r="AU132" i="15" s="1"/>
  <c r="AU209" i="15" s="1"/>
  <c r="AU218" i="15" s="1"/>
  <c r="AU65" i="15"/>
  <c r="AA65" i="15"/>
  <c r="AF154" i="15"/>
  <c r="G132" i="15"/>
  <c r="G209" i="15" s="1"/>
  <c r="G218" i="15" s="1"/>
  <c r="BS126" i="15"/>
  <c r="BO128" i="15"/>
  <c r="BT123" i="15"/>
  <c r="AZ123" i="6" s="1"/>
  <c r="BD218" i="4" l="1"/>
  <c r="BD219" i="4" s="1"/>
  <c r="AO219" i="6" s="1"/>
  <c r="AO209" i="6"/>
  <c r="BD194" i="15"/>
  <c r="AN194" i="6" s="1"/>
  <c r="AN178" i="6"/>
  <c r="BD141" i="15"/>
  <c r="AN141" i="6" s="1"/>
  <c r="AN138" i="6"/>
  <c r="AV65" i="15"/>
  <c r="AH65" i="6" s="1"/>
  <c r="AV125" i="15"/>
  <c r="AH125" i="6" s="1"/>
  <c r="AH121" i="6"/>
  <c r="AV132" i="4"/>
  <c r="AI126" i="6"/>
  <c r="AV209" i="5"/>
  <c r="AV218" i="5" s="1"/>
  <c r="BT64" i="15"/>
  <c r="AZ64" i="6" s="1"/>
  <c r="AZ61" i="6"/>
  <c r="BL65" i="15"/>
  <c r="AT65" i="6" s="1"/>
  <c r="AT64" i="6"/>
  <c r="BL209" i="4"/>
  <c r="BT149" i="5"/>
  <c r="BB149" i="6" s="1"/>
  <c r="BB144" i="6"/>
  <c r="BT141" i="5"/>
  <c r="BB141" i="6" s="1"/>
  <c r="BB138" i="6"/>
  <c r="BT82" i="5"/>
  <c r="BB82" i="6" s="1"/>
  <c r="BB68" i="6"/>
  <c r="H10" i="1" s="1"/>
  <c r="BT82" i="4"/>
  <c r="BA82" i="6" s="1"/>
  <c r="BA68" i="6"/>
  <c r="G10" i="1" s="1"/>
  <c r="BT141" i="4"/>
  <c r="BA141" i="6" s="1"/>
  <c r="BA138" i="6"/>
  <c r="BT149" i="4"/>
  <c r="BA149" i="6" s="1"/>
  <c r="BA144" i="6"/>
  <c r="AV149" i="15"/>
  <c r="AH149" i="6" s="1"/>
  <c r="AH144" i="6"/>
  <c r="AV82" i="15"/>
  <c r="AH82" i="6" s="1"/>
  <c r="AH68" i="6"/>
  <c r="AV141" i="15"/>
  <c r="AH141" i="6" s="1"/>
  <c r="AH138" i="6"/>
  <c r="C16" i="12"/>
  <c r="D16" i="12" s="1"/>
  <c r="C17" i="12"/>
  <c r="D17" i="12" s="1"/>
  <c r="C18" i="12"/>
  <c r="D18" i="12" s="1"/>
  <c r="C19" i="12"/>
  <c r="D19" i="12" s="1"/>
  <c r="C22" i="12"/>
  <c r="D22" i="12" s="1"/>
  <c r="C20" i="12"/>
  <c r="D20" i="12" s="1"/>
  <c r="H194" i="4"/>
  <c r="E194" i="6" s="1"/>
  <c r="E193" i="6"/>
  <c r="AF218" i="4"/>
  <c r="W209" i="6"/>
  <c r="BL218" i="4"/>
  <c r="AU209" i="6"/>
  <c r="BL209" i="5"/>
  <c r="AV116" i="6"/>
  <c r="BD132" i="5"/>
  <c r="AP126" i="6"/>
  <c r="BU193" i="5"/>
  <c r="AN218" i="4"/>
  <c r="AC209" i="6"/>
  <c r="BT127" i="5"/>
  <c r="BB127" i="6" s="1"/>
  <c r="AF209" i="5"/>
  <c r="X209" i="6" s="1"/>
  <c r="X132" i="6"/>
  <c r="AF219" i="4"/>
  <c r="W219" i="6" s="1"/>
  <c r="W218" i="6"/>
  <c r="X209" i="5"/>
  <c r="X218" i="5" s="1"/>
  <c r="P132" i="5"/>
  <c r="L132" i="6" s="1"/>
  <c r="L126" i="6"/>
  <c r="P116" i="5"/>
  <c r="L116" i="6" s="1"/>
  <c r="L110" i="6"/>
  <c r="H132" i="5"/>
  <c r="F127" i="6"/>
  <c r="J209" i="5"/>
  <c r="J218" i="5" s="1"/>
  <c r="BN171" i="5"/>
  <c r="BT171" i="5"/>
  <c r="BB171" i="6" s="1"/>
  <c r="BT126" i="5"/>
  <c r="BB126" i="6" s="1"/>
  <c r="BN132" i="5"/>
  <c r="BT110" i="5"/>
  <c r="BT116" i="5" s="1"/>
  <c r="BB116" i="6" s="1"/>
  <c r="BN116" i="5"/>
  <c r="BT194" i="5"/>
  <c r="BB194" i="6" s="1"/>
  <c r="H20" i="1" s="1"/>
  <c r="AH209" i="5"/>
  <c r="AH218" i="5" s="1"/>
  <c r="BT156" i="5"/>
  <c r="BN159" i="5"/>
  <c r="BN194" i="5"/>
  <c r="AN209" i="5"/>
  <c r="BO132" i="5"/>
  <c r="BO209" i="5" s="1"/>
  <c r="BO218" i="5" s="1"/>
  <c r="BU193" i="4"/>
  <c r="X209" i="4"/>
  <c r="X218" i="4" s="1"/>
  <c r="P132" i="4"/>
  <c r="P209" i="4" s="1"/>
  <c r="B209" i="4"/>
  <c r="B218" i="4" s="1"/>
  <c r="BT126" i="4"/>
  <c r="BN132" i="4"/>
  <c r="BO209" i="4"/>
  <c r="BO218" i="4" s="1"/>
  <c r="BN171" i="4"/>
  <c r="BT171" i="4"/>
  <c r="BA171" i="6" s="1"/>
  <c r="H159" i="4"/>
  <c r="H209" i="4"/>
  <c r="BN194" i="4"/>
  <c r="BT194" i="4"/>
  <c r="BA194" i="6" s="1"/>
  <c r="G20" i="1" s="1"/>
  <c r="BT156" i="4"/>
  <c r="BN159" i="4"/>
  <c r="BT116" i="4"/>
  <c r="BA116" i="6" s="1"/>
  <c r="R209" i="4"/>
  <c r="R218" i="4" s="1"/>
  <c r="J209" i="4"/>
  <c r="J218" i="4" s="1"/>
  <c r="BT128" i="15"/>
  <c r="AZ128" i="6" s="1"/>
  <c r="AP126" i="15"/>
  <c r="AP127" i="15"/>
  <c r="BN110" i="15"/>
  <c r="BT110" i="15" s="1"/>
  <c r="BT129" i="15"/>
  <c r="AZ129" i="6" s="1"/>
  <c r="AN125" i="15"/>
  <c r="AH116" i="15"/>
  <c r="AN116" i="15"/>
  <c r="AF127" i="15"/>
  <c r="AF132" i="15" s="1"/>
  <c r="AA116" i="15"/>
  <c r="BT109" i="15"/>
  <c r="BN109" i="15"/>
  <c r="F132" i="15"/>
  <c r="F209" i="15" s="1"/>
  <c r="F218" i="15" s="1"/>
  <c r="D116" i="15"/>
  <c r="D209" i="15" s="1"/>
  <c r="D218" i="15" s="1"/>
  <c r="H116" i="15"/>
  <c r="AN153" i="15"/>
  <c r="AI159" i="15"/>
  <c r="BT122" i="15"/>
  <c r="BO125" i="15"/>
  <c r="R132" i="15"/>
  <c r="X126" i="15"/>
  <c r="BR127" i="15"/>
  <c r="BR132" i="15" s="1"/>
  <c r="BR209" i="15" s="1"/>
  <c r="BR218" i="15" s="1"/>
  <c r="H138" i="15"/>
  <c r="H141" i="15" s="1"/>
  <c r="B141" i="15"/>
  <c r="BN138" i="15"/>
  <c r="BD132" i="15"/>
  <c r="AN132" i="6" s="1"/>
  <c r="C132" i="15"/>
  <c r="P144" i="15"/>
  <c r="P149" i="15" s="1"/>
  <c r="J149" i="15"/>
  <c r="AI132" i="15"/>
  <c r="BO111" i="15"/>
  <c r="BO116" i="15" s="1"/>
  <c r="X164" i="15"/>
  <c r="X171" i="15" s="1"/>
  <c r="BN145" i="15"/>
  <c r="BT145" i="15" s="1"/>
  <c r="AZ145" i="6" s="1"/>
  <c r="H145" i="15"/>
  <c r="AN164" i="15"/>
  <c r="X138" i="15"/>
  <c r="X141" i="15" s="1"/>
  <c r="R141" i="15"/>
  <c r="AP116" i="15"/>
  <c r="AV110" i="15"/>
  <c r="AV116" i="15" s="1"/>
  <c r="AH116" i="6" s="1"/>
  <c r="BP127" i="15"/>
  <c r="BP132" i="15" s="1"/>
  <c r="Z132" i="15"/>
  <c r="B170" i="15"/>
  <c r="B171" i="15" s="1"/>
  <c r="B156" i="15"/>
  <c r="B157" i="15"/>
  <c r="B82" i="15"/>
  <c r="H68" i="15"/>
  <c r="H82" i="15" s="1"/>
  <c r="D82" i="6" s="1"/>
  <c r="BN68" i="15"/>
  <c r="AH149" i="15"/>
  <c r="AN144" i="15"/>
  <c r="AN149" i="15" s="1"/>
  <c r="BF132" i="15"/>
  <c r="BL126" i="15"/>
  <c r="X178" i="15"/>
  <c r="AF156" i="15"/>
  <c r="AF159" i="15" s="1"/>
  <c r="Z159" i="15"/>
  <c r="AN126" i="15"/>
  <c r="X127" i="15"/>
  <c r="BT154" i="15"/>
  <c r="AN178" i="15"/>
  <c r="P138" i="15"/>
  <c r="P141" i="15" s="1"/>
  <c r="J141" i="15"/>
  <c r="Z171" i="15"/>
  <c r="P110" i="15"/>
  <c r="AF193" i="15"/>
  <c r="Z194" i="15"/>
  <c r="AV193" i="15"/>
  <c r="AP194" i="15"/>
  <c r="H164" i="15"/>
  <c r="BN164" i="15"/>
  <c r="AA132" i="15"/>
  <c r="AA209" i="15" s="1"/>
  <c r="AA218" i="15" s="1"/>
  <c r="BN148" i="15"/>
  <c r="BT148" i="15" s="1"/>
  <c r="AZ148" i="6" s="1"/>
  <c r="H148" i="15"/>
  <c r="C159" i="15"/>
  <c r="BO153" i="15"/>
  <c r="H153" i="15"/>
  <c r="AH170" i="15"/>
  <c r="AN170" i="15" s="1"/>
  <c r="AN193" i="15"/>
  <c r="AH82" i="15"/>
  <c r="AH157" i="15"/>
  <c r="AN157" i="15" s="1"/>
  <c r="AN68" i="15"/>
  <c r="AN82" i="15" s="1"/>
  <c r="AB82" i="6" s="1"/>
  <c r="AH156" i="15"/>
  <c r="AQ209" i="15"/>
  <c r="AQ218" i="15" s="1"/>
  <c r="AP171" i="15"/>
  <c r="S132" i="15"/>
  <c r="AP159" i="15"/>
  <c r="BN125" i="15"/>
  <c r="AN127" i="15"/>
  <c r="H146" i="15"/>
  <c r="BN146" i="15"/>
  <c r="BT146" i="15" s="1"/>
  <c r="AZ146" i="6" s="1"/>
  <c r="AV159" i="15"/>
  <c r="AH159" i="6" s="1"/>
  <c r="C116" i="15"/>
  <c r="P164" i="15"/>
  <c r="P171" i="15" s="1"/>
  <c r="S159" i="15"/>
  <c r="X153" i="15"/>
  <c r="AV171" i="15"/>
  <c r="AH171" i="6" s="1"/>
  <c r="BP111" i="15"/>
  <c r="BP116" i="15" s="1"/>
  <c r="BN168" i="15"/>
  <c r="BT168" i="15" s="1"/>
  <c r="AZ168" i="6" s="1"/>
  <c r="H168" i="15"/>
  <c r="P178" i="15"/>
  <c r="BQ127" i="15"/>
  <c r="BQ132" i="15" s="1"/>
  <c r="BQ209" i="15" s="1"/>
  <c r="BQ218" i="15" s="1"/>
  <c r="E132" i="15"/>
  <c r="E209" i="15" s="1"/>
  <c r="E218" i="15" s="1"/>
  <c r="R82" i="15"/>
  <c r="R193" i="15"/>
  <c r="X193" i="15" s="1"/>
  <c r="R170" i="15"/>
  <c r="X170" i="15" s="1"/>
  <c r="R156" i="15"/>
  <c r="R157" i="15"/>
  <c r="X157" i="15" s="1"/>
  <c r="X68" i="15"/>
  <c r="X82" i="15" s="1"/>
  <c r="P82" i="6" s="1"/>
  <c r="K132" i="15"/>
  <c r="J193" i="15"/>
  <c r="P193" i="15" s="1"/>
  <c r="J157" i="15"/>
  <c r="P157" i="15" s="1"/>
  <c r="J156" i="15"/>
  <c r="J82" i="15"/>
  <c r="J170" i="15"/>
  <c r="P170" i="15" s="1"/>
  <c r="P68" i="15"/>
  <c r="P82" i="15" s="1"/>
  <c r="J82" i="6" s="1"/>
  <c r="K159" i="15"/>
  <c r="P153" i="15"/>
  <c r="BL141" i="15"/>
  <c r="B149" i="15"/>
  <c r="H144" i="15"/>
  <c r="BN144" i="15"/>
  <c r="BO126" i="15"/>
  <c r="AX132" i="15"/>
  <c r="AX209" i="15" s="1"/>
  <c r="AX218" i="15" s="1"/>
  <c r="J116" i="15"/>
  <c r="AH141" i="15"/>
  <c r="AN138" i="15"/>
  <c r="AN141" i="15" s="1"/>
  <c r="AV127" i="15"/>
  <c r="AH127" i="6" s="1"/>
  <c r="BS132" i="15"/>
  <c r="BS209" i="15" s="1"/>
  <c r="BS218" i="15" s="1"/>
  <c r="BN178" i="15"/>
  <c r="H178" i="15"/>
  <c r="BL110" i="15"/>
  <c r="BL116" i="15" s="1"/>
  <c r="BF116" i="15"/>
  <c r="X144" i="15"/>
  <c r="X149" i="15" s="1"/>
  <c r="R149" i="15"/>
  <c r="H18" i="1" l="1"/>
  <c r="AO218" i="6"/>
  <c r="BD209" i="15"/>
  <c r="BT125" i="15"/>
  <c r="AZ125" i="6" s="1"/>
  <c r="F16" i="1" s="1"/>
  <c r="AZ122" i="6"/>
  <c r="AJ209" i="6"/>
  <c r="BT65" i="15"/>
  <c r="AZ65" i="6" s="1"/>
  <c r="AV209" i="4"/>
  <c r="AI132" i="6"/>
  <c r="BL132" i="15"/>
  <c r="AT132" i="6" s="1"/>
  <c r="AT126" i="6"/>
  <c r="BT132" i="4"/>
  <c r="BA132" i="6" s="1"/>
  <c r="G17" i="1" s="1"/>
  <c r="BA126" i="6"/>
  <c r="BT159" i="5"/>
  <c r="BB159" i="6" s="1"/>
  <c r="H19" i="1" s="1"/>
  <c r="BB156" i="6"/>
  <c r="G18" i="1"/>
  <c r="BT159" i="4"/>
  <c r="BA159" i="6" s="1"/>
  <c r="G19" i="1" s="1"/>
  <c r="BA156" i="6"/>
  <c r="AV194" i="15"/>
  <c r="AH194" i="6" s="1"/>
  <c r="AH193" i="6"/>
  <c r="H218" i="4"/>
  <c r="E209" i="6"/>
  <c r="AF194" i="15"/>
  <c r="V194" i="6" s="1"/>
  <c r="V193" i="6"/>
  <c r="BL219" i="4"/>
  <c r="AU219" i="6" s="1"/>
  <c r="AU218" i="6"/>
  <c r="P218" i="4"/>
  <c r="K209" i="6"/>
  <c r="X219" i="4"/>
  <c r="Q219" i="6" s="1"/>
  <c r="Q218" i="6"/>
  <c r="P219" i="4"/>
  <c r="K219" i="6" s="1"/>
  <c r="K218" i="6"/>
  <c r="H219" i="4"/>
  <c r="E219" i="6" s="1"/>
  <c r="E218" i="6"/>
  <c r="BL218" i="5"/>
  <c r="AV209" i="6"/>
  <c r="BD209" i="5"/>
  <c r="AP132" i="6"/>
  <c r="AV219" i="5"/>
  <c r="AJ219" i="6" s="1"/>
  <c r="AJ218" i="6"/>
  <c r="BT132" i="5"/>
  <c r="AN219" i="4"/>
  <c r="AC219" i="6" s="1"/>
  <c r="AC218" i="6"/>
  <c r="AN218" i="5"/>
  <c r="AN219" i="5" s="1"/>
  <c r="AD219" i="6" s="1"/>
  <c r="AD209" i="6"/>
  <c r="AF218" i="5"/>
  <c r="AF219" i="5" s="1"/>
  <c r="X219" i="6" s="1"/>
  <c r="R209" i="6"/>
  <c r="X219" i="5"/>
  <c r="R219" i="6" s="1"/>
  <c r="R218" i="6"/>
  <c r="P209" i="5"/>
  <c r="P218" i="5" s="1"/>
  <c r="P219" i="5" s="1"/>
  <c r="L219" i="6" s="1"/>
  <c r="H209" i="5"/>
  <c r="F132" i="6"/>
  <c r="BN209" i="5"/>
  <c r="BN218" i="5" s="1"/>
  <c r="BN209" i="4"/>
  <c r="BN218" i="4" s="1"/>
  <c r="BL209" i="15"/>
  <c r="BF209" i="15"/>
  <c r="BF218" i="15" s="1"/>
  <c r="AN132" i="15"/>
  <c r="AH132" i="15"/>
  <c r="AH194" i="15"/>
  <c r="AN194" i="15"/>
  <c r="AB194" i="6" s="1"/>
  <c r="AN171" i="15"/>
  <c r="P194" i="15"/>
  <c r="AH171" i="15"/>
  <c r="J171" i="15"/>
  <c r="BP209" i="15"/>
  <c r="BP218" i="15" s="1"/>
  <c r="X156" i="15"/>
  <c r="R159" i="15"/>
  <c r="R194" i="15"/>
  <c r="R209" i="15" s="1"/>
  <c r="R218" i="15" s="1"/>
  <c r="H193" i="15"/>
  <c r="BN193" i="15"/>
  <c r="BT193" i="15" s="1"/>
  <c r="AZ193" i="6" s="1"/>
  <c r="BO127" i="15"/>
  <c r="BO132" i="15" s="1"/>
  <c r="P111" i="15"/>
  <c r="P116" i="15" s="1"/>
  <c r="BN111" i="15"/>
  <c r="X194" i="15"/>
  <c r="R171" i="15"/>
  <c r="K209" i="15"/>
  <c r="K218" i="15" s="1"/>
  <c r="BN156" i="15"/>
  <c r="H156" i="15"/>
  <c r="H159" i="15" s="1"/>
  <c r="B159" i="15"/>
  <c r="X159" i="15"/>
  <c r="BO159" i="15"/>
  <c r="BT153" i="15"/>
  <c r="AZ153" i="6" s="1"/>
  <c r="BT138" i="15"/>
  <c r="BN141" i="15"/>
  <c r="X132" i="15"/>
  <c r="AN156" i="15"/>
  <c r="AN159" i="15" s="1"/>
  <c r="AH159" i="15"/>
  <c r="BT164" i="15"/>
  <c r="AZ164" i="6" s="1"/>
  <c r="H157" i="15"/>
  <c r="BN157" i="15"/>
  <c r="BT157" i="15" s="1"/>
  <c r="AZ157" i="6" s="1"/>
  <c r="AP132" i="15"/>
  <c r="AP209" i="15" s="1"/>
  <c r="AP218" i="15" s="1"/>
  <c r="AV126" i="15"/>
  <c r="BN170" i="15"/>
  <c r="BT170" i="15" s="1"/>
  <c r="AZ170" i="6" s="1"/>
  <c r="H170" i="15"/>
  <c r="H171" i="15" s="1"/>
  <c r="Z209" i="15"/>
  <c r="Z218" i="15" s="1"/>
  <c r="P156" i="15"/>
  <c r="P159" i="15" s="1"/>
  <c r="J159" i="15"/>
  <c r="S209" i="15"/>
  <c r="S218" i="15" s="1"/>
  <c r="AF209" i="15"/>
  <c r="P127" i="15"/>
  <c r="AI209" i="15"/>
  <c r="AI218" i="15" s="1"/>
  <c r="B194" i="15"/>
  <c r="C209" i="15"/>
  <c r="C218" i="15" s="1"/>
  <c r="J132" i="15"/>
  <c r="P126" i="15"/>
  <c r="BN149" i="15"/>
  <c r="BT144" i="15"/>
  <c r="H127" i="15"/>
  <c r="BN127" i="15"/>
  <c r="BT178" i="15"/>
  <c r="AZ178" i="6" s="1"/>
  <c r="H149" i="15"/>
  <c r="J194" i="15"/>
  <c r="H126" i="15"/>
  <c r="B132" i="15"/>
  <c r="BN126" i="15"/>
  <c r="BN82" i="15"/>
  <c r="BT68" i="15"/>
  <c r="BD218" i="15" l="1"/>
  <c r="AN209" i="6"/>
  <c r="AV132" i="15"/>
  <c r="AH132" i="6" s="1"/>
  <c r="AH126" i="6"/>
  <c r="AI209" i="6"/>
  <c r="AV218" i="4"/>
  <c r="BT209" i="4"/>
  <c r="BT218" i="4" s="1"/>
  <c r="BT219" i="4" s="1"/>
  <c r="BA219" i="6" s="1"/>
  <c r="BT141" i="15"/>
  <c r="AZ141" i="6" s="1"/>
  <c r="AZ138" i="6"/>
  <c r="BT149" i="15"/>
  <c r="AZ149" i="6" s="1"/>
  <c r="AZ144" i="6"/>
  <c r="BT82" i="15"/>
  <c r="AZ82" i="6" s="1"/>
  <c r="AZ68" i="6"/>
  <c r="F10" i="1" s="1"/>
  <c r="AF218" i="15"/>
  <c r="V209" i="6"/>
  <c r="BL218" i="15"/>
  <c r="AT209" i="6"/>
  <c r="BT209" i="5"/>
  <c r="BT218" i="5" s="1"/>
  <c r="BB132" i="6"/>
  <c r="H17" i="1" s="1"/>
  <c r="BA209" i="6"/>
  <c r="H194" i="15"/>
  <c r="D194" i="6" s="1"/>
  <c r="D193" i="6"/>
  <c r="BL219" i="5"/>
  <c r="AV219" i="6" s="1"/>
  <c r="AV218" i="6"/>
  <c r="BD218" i="5"/>
  <c r="AP209" i="6"/>
  <c r="AD218" i="6"/>
  <c r="X218" i="6"/>
  <c r="AF219" i="15"/>
  <c r="V219" i="6" s="1"/>
  <c r="V218" i="6"/>
  <c r="L209" i="6"/>
  <c r="L218" i="6"/>
  <c r="H218" i="5"/>
  <c r="F209" i="6"/>
  <c r="AN209" i="15"/>
  <c r="AH209" i="15"/>
  <c r="AH218" i="15" s="1"/>
  <c r="BU193" i="15"/>
  <c r="BT171" i="15"/>
  <c r="AZ171" i="6" s="1"/>
  <c r="BN171" i="15"/>
  <c r="H132" i="15"/>
  <c r="BN194" i="15"/>
  <c r="B209" i="15"/>
  <c r="B218" i="15" s="1"/>
  <c r="J209" i="15"/>
  <c r="J218" i="15" s="1"/>
  <c r="X209" i="15"/>
  <c r="X218" i="15" s="1"/>
  <c r="BT126" i="15"/>
  <c r="AZ126" i="6" s="1"/>
  <c r="BN132" i="15"/>
  <c r="BO209" i="15"/>
  <c r="BO218" i="15" s="1"/>
  <c r="BT194" i="15"/>
  <c r="AZ194" i="6" s="1"/>
  <c r="F20" i="1" s="1"/>
  <c r="BT127" i="15"/>
  <c r="AZ127" i="6" s="1"/>
  <c r="BT156" i="15"/>
  <c r="BN159" i="15"/>
  <c r="P132" i="15"/>
  <c r="P209" i="15" s="1"/>
  <c r="P218" i="15" s="1"/>
  <c r="BT111" i="15"/>
  <c r="BN116" i="15"/>
  <c r="BD219" i="15" l="1"/>
  <c r="AN219" i="6" s="1"/>
  <c r="AN218" i="6"/>
  <c r="AV209" i="15"/>
  <c r="BT116" i="15"/>
  <c r="AZ116" i="6" s="1"/>
  <c r="AZ111" i="6"/>
  <c r="AV219" i="4"/>
  <c r="AI219" i="6" s="1"/>
  <c r="AI218" i="6"/>
  <c r="BT159" i="15"/>
  <c r="AZ159" i="6" s="1"/>
  <c r="F19" i="1" s="1"/>
  <c r="AZ156" i="6"/>
  <c r="F18" i="1"/>
  <c r="H209" i="15"/>
  <c r="BA218" i="6"/>
  <c r="BL219" i="15"/>
  <c r="AT219" i="6" s="1"/>
  <c r="AT218" i="6"/>
  <c r="BB209" i="6"/>
  <c r="H218" i="15"/>
  <c r="H219" i="15" s="1"/>
  <c r="D219" i="6" s="1"/>
  <c r="D209" i="6"/>
  <c r="X219" i="15"/>
  <c r="P219" i="6" s="1"/>
  <c r="P218" i="6"/>
  <c r="P219" i="15"/>
  <c r="J219" i="6" s="1"/>
  <c r="J218" i="6"/>
  <c r="BT219" i="5"/>
  <c r="BB219" i="6" s="1"/>
  <c r="BB218" i="6"/>
  <c r="BD219" i="5"/>
  <c r="AP219" i="6" s="1"/>
  <c r="AP218" i="6"/>
  <c r="AN218" i="15"/>
  <c r="AB209" i="6"/>
  <c r="H219" i="5"/>
  <c r="F219" i="6" s="1"/>
  <c r="F218" i="6"/>
  <c r="BN209" i="15"/>
  <c r="BN218" i="15" s="1"/>
  <c r="BT132" i="15"/>
  <c r="AV218" i="15" l="1"/>
  <c r="AH209" i="6"/>
  <c r="BT209" i="15"/>
  <c r="AZ132" i="6"/>
  <c r="F17" i="1" s="1"/>
  <c r="D218" i="6"/>
  <c r="BT218" i="15"/>
  <c r="BT219" i="15" s="1"/>
  <c r="AZ219" i="6" s="1"/>
  <c r="AZ209" i="6"/>
  <c r="AN219" i="15"/>
  <c r="AB219" i="6" s="1"/>
  <c r="AB218" i="6"/>
  <c r="R193" i="14"/>
  <c r="AJ81" i="14"/>
  <c r="AJ181" i="14"/>
  <c r="AB181" i="14"/>
  <c r="AB81" i="14"/>
  <c r="T81" i="14"/>
  <c r="T181" i="14"/>
  <c r="L181" i="14"/>
  <c r="L180" i="14"/>
  <c r="L81" i="14"/>
  <c r="L80" i="14"/>
  <c r="D81" i="14"/>
  <c r="D80" i="14"/>
  <c r="D181" i="14"/>
  <c r="D180" i="14"/>
  <c r="BN2" i="14"/>
  <c r="BF121" i="14"/>
  <c r="BF111" i="14"/>
  <c r="BG110" i="14"/>
  <c r="BH110" i="14"/>
  <c r="BI110" i="14"/>
  <c r="BJ110" i="14"/>
  <c r="BK110" i="14"/>
  <c r="BF110" i="14"/>
  <c r="BH102" i="14"/>
  <c r="BF99" i="14"/>
  <c r="BF98" i="14"/>
  <c r="BF94" i="14"/>
  <c r="BF2" i="14"/>
  <c r="AX185" i="14"/>
  <c r="AX184" i="14"/>
  <c r="AX183" i="14"/>
  <c r="AX182" i="14"/>
  <c r="AX179" i="14"/>
  <c r="AX177" i="14"/>
  <c r="AX176" i="14"/>
  <c r="AX175" i="14"/>
  <c r="AX167" i="14"/>
  <c r="AX166" i="14"/>
  <c r="AX165" i="14"/>
  <c r="AX154" i="14"/>
  <c r="AY154" i="14"/>
  <c r="AX152" i="14"/>
  <c r="AY140" i="14"/>
  <c r="AY127" i="14"/>
  <c r="AZ127" i="14"/>
  <c r="BA127" i="14"/>
  <c r="BB127" i="14"/>
  <c r="AY126" i="14"/>
  <c r="AZ126" i="14"/>
  <c r="BA126" i="14"/>
  <c r="BB126" i="14"/>
  <c r="BC126" i="14"/>
  <c r="BB123" i="14"/>
  <c r="AX123" i="14"/>
  <c r="AY123" i="14"/>
  <c r="AY122" i="14"/>
  <c r="AX120" i="14"/>
  <c r="AY74" i="14"/>
  <c r="AX2" i="14"/>
  <c r="AT77" i="14"/>
  <c r="AT123" i="14"/>
  <c r="AR80" i="14"/>
  <c r="AR81" i="14"/>
  <c r="AR180" i="14"/>
  <c r="AR181" i="14"/>
  <c r="AP135" i="14"/>
  <c r="AP128" i="14"/>
  <c r="AP202" i="14"/>
  <c r="AP112" i="14"/>
  <c r="AP98" i="14"/>
  <c r="AA73" i="14"/>
  <c r="AP101" i="14"/>
  <c r="AP99" i="14"/>
  <c r="B2" i="16"/>
  <c r="AP176" i="14"/>
  <c r="AP166" i="14"/>
  <c r="AQ154" i="14"/>
  <c r="AR111" i="14"/>
  <c r="AQ111" i="14"/>
  <c r="AS111" i="14"/>
  <c r="AU111" i="14"/>
  <c r="AR127" i="14"/>
  <c r="AS127" i="14"/>
  <c r="AU127" i="14"/>
  <c r="AU126" i="14"/>
  <c r="AR126" i="14"/>
  <c r="AS126" i="14"/>
  <c r="AQ123" i="14"/>
  <c r="AP123" i="14"/>
  <c r="AP120" i="14"/>
  <c r="AQ110" i="14"/>
  <c r="AR110" i="14"/>
  <c r="AS110" i="14"/>
  <c r="AT110" i="14"/>
  <c r="AU110" i="14"/>
  <c r="AQ104" i="14"/>
  <c r="AR102" i="14"/>
  <c r="AP93" i="14"/>
  <c r="AQ74" i="14"/>
  <c r="AP71" i="14"/>
  <c r="AP70" i="14"/>
  <c r="AP69" i="14"/>
  <c r="AP2" i="14"/>
  <c r="AH164" i="14"/>
  <c r="AH24" i="14"/>
  <c r="AH108" i="14"/>
  <c r="AH202" i="14"/>
  <c r="AV219" i="15" l="1"/>
  <c r="AH219" i="6" s="1"/>
  <c r="AH218" i="6"/>
  <c r="AZ218" i="6"/>
  <c r="AH206" i="14"/>
  <c r="AH205" i="14"/>
  <c r="AH203" i="14"/>
  <c r="AH201" i="14"/>
  <c r="AH200" i="14"/>
  <c r="AH199" i="14"/>
  <c r="AH197" i="14"/>
  <c r="AH186" i="14"/>
  <c r="AH184" i="14"/>
  <c r="AH183" i="14"/>
  <c r="AH182" i="14"/>
  <c r="AH179" i="14"/>
  <c r="AH178" i="14"/>
  <c r="AH177" i="14"/>
  <c r="AH176" i="14"/>
  <c r="AH175" i="14"/>
  <c r="AH174" i="14"/>
  <c r="AH170" i="14"/>
  <c r="AH168" i="14"/>
  <c r="AH167" i="14"/>
  <c r="B166" i="14"/>
  <c r="R166" i="14"/>
  <c r="Z166" i="14"/>
  <c r="AH166" i="14"/>
  <c r="AH165" i="14"/>
  <c r="AH162" i="14"/>
  <c r="AH154" i="14"/>
  <c r="AI154" i="14"/>
  <c r="AI153" i="14"/>
  <c r="AH152" i="14"/>
  <c r="AH148" i="14"/>
  <c r="AH146" i="14"/>
  <c r="AH145" i="14"/>
  <c r="AH144" i="14"/>
  <c r="AI140" i="14"/>
  <c r="AH138" i="14"/>
  <c r="AH135" i="14"/>
  <c r="AI127" i="14"/>
  <c r="AJ127" i="14"/>
  <c r="AK127" i="14"/>
  <c r="AL127" i="14"/>
  <c r="AM127" i="14"/>
  <c r="AI126" i="14"/>
  <c r="AJ126" i="14"/>
  <c r="AK126" i="14"/>
  <c r="AL126" i="14"/>
  <c r="AM126" i="14"/>
  <c r="AH124" i="14"/>
  <c r="AH123" i="14"/>
  <c r="AI123" i="14"/>
  <c r="AI122" i="14"/>
  <c r="AH121" i="14"/>
  <c r="AH119" i="14"/>
  <c r="AJ111" i="14"/>
  <c r="AI111" i="14"/>
  <c r="AI110" i="14"/>
  <c r="AJ110" i="14"/>
  <c r="AK110" i="14"/>
  <c r="AL110" i="14"/>
  <c r="AM110" i="14"/>
  <c r="AH107" i="14"/>
  <c r="AI106" i="14"/>
  <c r="AJ102" i="14"/>
  <c r="AH101" i="14"/>
  <c r="AH100" i="14"/>
  <c r="AH99" i="14"/>
  <c r="AH98" i="14"/>
  <c r="AH97" i="14"/>
  <c r="AH95" i="14"/>
  <c r="AH94" i="14"/>
  <c r="AH93" i="14"/>
  <c r="AI74" i="14"/>
  <c r="AH71" i="14"/>
  <c r="AH70" i="14"/>
  <c r="AH69" i="14"/>
  <c r="Z2" i="14"/>
  <c r="AH2" i="14" s="1"/>
  <c r="Z206" i="14"/>
  <c r="Z205" i="14"/>
  <c r="Z203" i="14"/>
  <c r="Z202" i="14"/>
  <c r="Z201" i="14"/>
  <c r="Z200" i="14"/>
  <c r="Z199" i="14"/>
  <c r="Z197" i="14"/>
  <c r="Z185" i="14"/>
  <c r="Z184" i="14"/>
  <c r="Z183" i="14"/>
  <c r="Z182" i="14"/>
  <c r="Z179" i="14"/>
  <c r="Z177" i="14"/>
  <c r="Z176" i="14"/>
  <c r="Z175" i="14"/>
  <c r="Z174" i="14"/>
  <c r="Z167" i="14"/>
  <c r="Z165" i="14"/>
  <c r="Z162" i="14"/>
  <c r="Z154" i="14"/>
  <c r="AA154" i="14"/>
  <c r="Z152" i="14"/>
  <c r="AA140" i="14"/>
  <c r="Z135" i="14"/>
  <c r="AA127" i="14"/>
  <c r="AB127" i="14"/>
  <c r="AC127" i="14"/>
  <c r="AD127" i="14"/>
  <c r="AE127" i="14"/>
  <c r="Z127" i="14"/>
  <c r="AA126" i="14"/>
  <c r="AB126" i="14"/>
  <c r="AC126" i="14"/>
  <c r="AD126" i="14"/>
  <c r="AE126" i="14"/>
  <c r="Z126" i="14"/>
  <c r="Z124" i="14"/>
  <c r="Z123" i="14"/>
  <c r="AA123" i="14"/>
  <c r="AA122" i="14"/>
  <c r="Z121" i="14"/>
  <c r="Z119" i="14"/>
  <c r="Z112" i="14"/>
  <c r="AB111" i="14"/>
  <c r="AA111" i="14"/>
  <c r="Z111" i="14"/>
  <c r="AB110" i="14"/>
  <c r="AA110" i="14"/>
  <c r="Z110" i="14"/>
  <c r="Z108" i="14"/>
  <c r="Z107" i="14"/>
  <c r="AA106" i="14"/>
  <c r="AA105" i="14"/>
  <c r="AA104" i="14"/>
  <c r="AA103" i="14"/>
  <c r="Z101" i="14"/>
  <c r="Z99" i="14"/>
  <c r="Z98" i="14"/>
  <c r="Z95" i="14"/>
  <c r="Z94" i="14"/>
  <c r="Z93" i="14"/>
  <c r="U127" i="14"/>
  <c r="V127" i="14"/>
  <c r="W127" i="14"/>
  <c r="S127" i="14"/>
  <c r="T127" i="14"/>
  <c r="R127" i="14"/>
  <c r="S122" i="14"/>
  <c r="R121" i="14"/>
  <c r="R112" i="14"/>
  <c r="T111" i="14"/>
  <c r="S111" i="14"/>
  <c r="R111" i="14"/>
  <c r="R95" i="14"/>
  <c r="R93" i="14"/>
  <c r="K127" i="14"/>
  <c r="K122" i="14"/>
  <c r="L111" i="14"/>
  <c r="K111" i="14"/>
  <c r="J111" i="14"/>
  <c r="J93" i="14"/>
  <c r="B162" i="14"/>
  <c r="C154" i="14"/>
  <c r="B154" i="14"/>
  <c r="C153" i="14"/>
  <c r="B152" i="14"/>
  <c r="B148" i="14"/>
  <c r="B146" i="14"/>
  <c r="B145" i="14"/>
  <c r="B144" i="14"/>
  <c r="C140" i="14"/>
  <c r="B138" i="14"/>
  <c r="B135" i="14"/>
  <c r="F127" i="14"/>
  <c r="C127" i="14"/>
  <c r="B127" i="14"/>
  <c r="B124" i="14"/>
  <c r="B123" i="14"/>
  <c r="C123" i="14"/>
  <c r="B119" i="14"/>
  <c r="D111" i="14"/>
  <c r="C111" i="14"/>
  <c r="E111" i="14"/>
  <c r="F111" i="14"/>
  <c r="G111" i="14"/>
  <c r="B111" i="14"/>
  <c r="B108" i="14"/>
  <c r="D102" i="14"/>
  <c r="C104" i="14"/>
  <c r="B101" i="14"/>
  <c r="B99" i="14"/>
  <c r="B93" i="14"/>
  <c r="B98" i="14"/>
  <c r="C94" i="14"/>
  <c r="B94" i="14"/>
  <c r="B71" i="14"/>
  <c r="C74" i="14"/>
  <c r="B70" i="14"/>
  <c r="B69" i="14"/>
  <c r="C122" i="14"/>
  <c r="B121" i="14"/>
  <c r="R206" i="14"/>
  <c r="R205" i="14"/>
  <c r="R203" i="14"/>
  <c r="R202" i="14"/>
  <c r="R201" i="14"/>
  <c r="R200" i="14"/>
  <c r="R199" i="14"/>
  <c r="R197" i="14"/>
  <c r="R185" i="14"/>
  <c r="R184" i="14"/>
  <c r="R183" i="14"/>
  <c r="R182" i="14"/>
  <c r="R179" i="14"/>
  <c r="R177" i="14"/>
  <c r="R176" i="14"/>
  <c r="R175" i="14"/>
  <c r="R174" i="14"/>
  <c r="R167" i="14"/>
  <c r="R165" i="14"/>
  <c r="R163" i="14"/>
  <c r="R162" i="14"/>
  <c r="R152" i="14"/>
  <c r="S140" i="14"/>
  <c r="R135" i="14"/>
  <c r="R124" i="14"/>
  <c r="R123" i="14"/>
  <c r="S123" i="14"/>
  <c r="R119" i="14"/>
  <c r="R107" i="14"/>
  <c r="S106" i="14"/>
  <c r="S104" i="14"/>
  <c r="T102" i="14"/>
  <c r="R101" i="14"/>
  <c r="R100" i="14"/>
  <c r="R99" i="14"/>
  <c r="R98" i="14"/>
  <c r="R94" i="14"/>
  <c r="S74" i="14"/>
  <c r="R71" i="14"/>
  <c r="R70" i="14"/>
  <c r="R69" i="14"/>
  <c r="J24" i="14"/>
  <c r="B185" i="14" l="1"/>
  <c r="J185" i="14"/>
  <c r="J206" i="14"/>
  <c r="J205" i="14"/>
  <c r="J202" i="14"/>
  <c r="J201" i="14"/>
  <c r="J200" i="14"/>
  <c r="J199" i="14"/>
  <c r="J197" i="14"/>
  <c r="J179" i="14"/>
  <c r="J177" i="14"/>
  <c r="J176" i="14"/>
  <c r="J175" i="14"/>
  <c r="J174" i="14"/>
  <c r="J167" i="14"/>
  <c r="J166" i="14"/>
  <c r="J165" i="14"/>
  <c r="J162" i="14"/>
  <c r="J152" i="14"/>
  <c r="K140" i="14"/>
  <c r="J135" i="14"/>
  <c r="J124" i="14"/>
  <c r="J123" i="14"/>
  <c r="K123" i="14"/>
  <c r="J120" i="14"/>
  <c r="J119" i="14"/>
  <c r="J108" i="14" l="1"/>
  <c r="J107" i="14"/>
  <c r="P107" i="14" s="1"/>
  <c r="K106" i="14"/>
  <c r="BO106" i="14" s="1"/>
  <c r="K105" i="14"/>
  <c r="P105" i="14" s="1"/>
  <c r="K104" i="14"/>
  <c r="J101" i="14"/>
  <c r="L102" i="14"/>
  <c r="J100" i="14"/>
  <c r="J99" i="14"/>
  <c r="J98" i="14"/>
  <c r="J97" i="14"/>
  <c r="J96" i="14"/>
  <c r="BN96" i="14" s="1"/>
  <c r="BT96" i="14" s="1"/>
  <c r="J95" i="14"/>
  <c r="J94" i="14"/>
  <c r="P94" i="14" s="1"/>
  <c r="J71" i="14"/>
  <c r="P71" i="14" s="1"/>
  <c r="J70" i="14"/>
  <c r="J69" i="14"/>
  <c r="P69" i="14" s="1"/>
  <c r="K74" i="14"/>
  <c r="J2" i="14"/>
  <c r="R2" i="14" s="1"/>
  <c r="E110" i="14"/>
  <c r="F110" i="14"/>
  <c r="G110" i="14"/>
  <c r="C74" i="2"/>
  <c r="B113" i="2"/>
  <c r="B112" i="2"/>
  <c r="G113" i="2"/>
  <c r="F113" i="2"/>
  <c r="E113" i="2"/>
  <c r="D113" i="2"/>
  <c r="C113" i="2"/>
  <c r="G112" i="2"/>
  <c r="F112" i="2"/>
  <c r="E112" i="2"/>
  <c r="D112" i="2"/>
  <c r="C112" i="2"/>
  <c r="G129" i="2"/>
  <c r="F129" i="2"/>
  <c r="E129" i="2"/>
  <c r="D129" i="2"/>
  <c r="C129" i="2"/>
  <c r="B129" i="2"/>
  <c r="G128" i="2"/>
  <c r="F128" i="2"/>
  <c r="E128" i="2"/>
  <c r="D128" i="2"/>
  <c r="C128" i="2"/>
  <c r="B128" i="2"/>
  <c r="D181" i="2"/>
  <c r="D180" i="2"/>
  <c r="B215" i="2"/>
  <c r="B9" i="2"/>
  <c r="B8" i="2"/>
  <c r="H220" i="2"/>
  <c r="G220" i="2"/>
  <c r="F220" i="2"/>
  <c r="E220" i="2"/>
  <c r="D220" i="2"/>
  <c r="C220" i="2"/>
  <c r="B220" i="2"/>
  <c r="G216" i="2"/>
  <c r="F216" i="2"/>
  <c r="E216" i="2"/>
  <c r="D216" i="2"/>
  <c r="C216" i="2"/>
  <c r="B216" i="2"/>
  <c r="H215" i="2"/>
  <c r="H214" i="2"/>
  <c r="B214" i="6" s="1"/>
  <c r="H213" i="2"/>
  <c r="B213" i="6" s="1"/>
  <c r="H212" i="2"/>
  <c r="G207" i="2"/>
  <c r="F207" i="2"/>
  <c r="E207" i="2"/>
  <c r="D207" i="2"/>
  <c r="C207" i="2"/>
  <c r="B206" i="2"/>
  <c r="H206" i="2" s="1"/>
  <c r="B205" i="2"/>
  <c r="H204" i="2"/>
  <c r="H203" i="2"/>
  <c r="B202" i="2"/>
  <c r="H202" i="2" s="1"/>
  <c r="H201" i="2"/>
  <c r="H200" i="2"/>
  <c r="H199" i="2"/>
  <c r="H198" i="2"/>
  <c r="H197" i="2"/>
  <c r="G194" i="2"/>
  <c r="F194" i="2"/>
  <c r="E194" i="2"/>
  <c r="C194" i="2"/>
  <c r="H192" i="2"/>
  <c r="G191" i="2"/>
  <c r="BS191" i="2" s="1"/>
  <c r="H190" i="2"/>
  <c r="H189" i="2"/>
  <c r="H188" i="2"/>
  <c r="H187" i="2"/>
  <c r="H186" i="2"/>
  <c r="B185" i="2"/>
  <c r="H185" i="2" s="1"/>
  <c r="H184" i="2"/>
  <c r="H183" i="2"/>
  <c r="H182" i="2"/>
  <c r="H181" i="2"/>
  <c r="H180" i="2"/>
  <c r="H179" i="2"/>
  <c r="H177" i="2"/>
  <c r="H176" i="2"/>
  <c r="H175" i="2"/>
  <c r="B174" i="2"/>
  <c r="G171" i="2"/>
  <c r="F171" i="2"/>
  <c r="E171" i="2"/>
  <c r="D171" i="2"/>
  <c r="C171" i="2"/>
  <c r="H169" i="2"/>
  <c r="H167" i="2"/>
  <c r="H166" i="2"/>
  <c r="B165" i="2"/>
  <c r="H165" i="2" s="1"/>
  <c r="H163" i="2"/>
  <c r="H162" i="2"/>
  <c r="H158" i="2"/>
  <c r="H155" i="2"/>
  <c r="G154" i="2"/>
  <c r="G159" i="2" s="1"/>
  <c r="F154" i="2"/>
  <c r="F159" i="2" s="1"/>
  <c r="E154" i="2"/>
  <c r="E159" i="2" s="1"/>
  <c r="H152" i="2"/>
  <c r="G149" i="2"/>
  <c r="F149" i="2"/>
  <c r="E149" i="2"/>
  <c r="D149" i="2"/>
  <c r="C149" i="2"/>
  <c r="H147" i="2"/>
  <c r="G141" i="2"/>
  <c r="F141" i="2"/>
  <c r="E141" i="2"/>
  <c r="D141" i="2"/>
  <c r="C140" i="2"/>
  <c r="C141" i="2" s="1"/>
  <c r="H139" i="2"/>
  <c r="H137" i="2"/>
  <c r="H136" i="2"/>
  <c r="H135" i="2"/>
  <c r="B135" i="2"/>
  <c r="H131" i="2"/>
  <c r="H130" i="2"/>
  <c r="G126" i="2"/>
  <c r="F126" i="2"/>
  <c r="E126" i="2"/>
  <c r="G125" i="2"/>
  <c r="F125" i="2"/>
  <c r="E125" i="2"/>
  <c r="D125" i="2"/>
  <c r="D126" i="2" s="1"/>
  <c r="C125" i="2"/>
  <c r="C126" i="2" s="1"/>
  <c r="B124" i="2"/>
  <c r="H124" i="2" s="1"/>
  <c r="G123" i="2"/>
  <c r="F123" i="2"/>
  <c r="E123" i="2"/>
  <c r="C123" i="2"/>
  <c r="B123" i="2"/>
  <c r="H123" i="2" s="1"/>
  <c r="C122" i="2"/>
  <c r="H122" i="2" s="1"/>
  <c r="H120" i="2"/>
  <c r="H119" i="2"/>
  <c r="H115" i="2"/>
  <c r="H114" i="2"/>
  <c r="G110" i="2"/>
  <c r="F110" i="2"/>
  <c r="E110" i="2"/>
  <c r="D110" i="2"/>
  <c r="G109" i="2"/>
  <c r="F109" i="2"/>
  <c r="E109" i="2"/>
  <c r="D109" i="2"/>
  <c r="C109" i="2"/>
  <c r="C110" i="2" s="1"/>
  <c r="B109" i="2"/>
  <c r="B110" i="2" s="1"/>
  <c r="H108" i="2"/>
  <c r="H107" i="2"/>
  <c r="H106" i="2"/>
  <c r="H105" i="2"/>
  <c r="H104" i="2"/>
  <c r="H103" i="2"/>
  <c r="D102" i="2"/>
  <c r="H102" i="2" s="1"/>
  <c r="B101" i="2"/>
  <c r="H101" i="2" s="1"/>
  <c r="H100" i="2"/>
  <c r="B99" i="2"/>
  <c r="H99" i="2" s="1"/>
  <c r="H98" i="2"/>
  <c r="B98" i="2"/>
  <c r="H97" i="2"/>
  <c r="H96" i="2"/>
  <c r="H95" i="2"/>
  <c r="B94" i="2"/>
  <c r="H94" i="2" s="1"/>
  <c r="B93" i="2"/>
  <c r="H93" i="2" s="1"/>
  <c r="E91" i="2"/>
  <c r="E118" i="2" s="1"/>
  <c r="E134" i="2" s="1"/>
  <c r="E151" i="2" s="1"/>
  <c r="E161" i="2" s="1"/>
  <c r="E173" i="2" s="1"/>
  <c r="E196" i="2" s="1"/>
  <c r="H88" i="2"/>
  <c r="G88" i="2"/>
  <c r="F88" i="2"/>
  <c r="E88" i="2"/>
  <c r="D88" i="2"/>
  <c r="C88" i="2"/>
  <c r="B88" i="2"/>
  <c r="H87" i="2"/>
  <c r="H86" i="2"/>
  <c r="H85" i="2"/>
  <c r="E84" i="2"/>
  <c r="G82" i="2"/>
  <c r="F82" i="2"/>
  <c r="E82" i="2"/>
  <c r="D82" i="2"/>
  <c r="H81" i="2"/>
  <c r="D81" i="2"/>
  <c r="D80" i="2"/>
  <c r="D222" i="2" s="1"/>
  <c r="H79" i="2"/>
  <c r="H78" i="2"/>
  <c r="F77" i="2"/>
  <c r="H77" i="2" s="1"/>
  <c r="H76" i="2"/>
  <c r="B76" i="6" s="1"/>
  <c r="H75" i="2"/>
  <c r="C82" i="2"/>
  <c r="H73" i="2"/>
  <c r="H72" i="2"/>
  <c r="B71" i="2"/>
  <c r="H71" i="2" s="1"/>
  <c r="B70" i="2"/>
  <c r="H70" i="2" s="1"/>
  <c r="B69" i="2"/>
  <c r="H69" i="2" s="1"/>
  <c r="E67" i="2"/>
  <c r="G64" i="2"/>
  <c r="G111" i="2" s="1"/>
  <c r="F64" i="2"/>
  <c r="F111" i="2" s="1"/>
  <c r="E64" i="2"/>
  <c r="E111" i="2" s="1"/>
  <c r="C64" i="2"/>
  <c r="G61" i="2"/>
  <c r="F61" i="2"/>
  <c r="E61" i="2"/>
  <c r="D61" i="2"/>
  <c r="D64" i="2" s="1"/>
  <c r="D111" i="2" s="1"/>
  <c r="C61" i="2"/>
  <c r="B61" i="2"/>
  <c r="B64" i="2" s="1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E38" i="2"/>
  <c r="G36" i="2"/>
  <c r="G63" i="2" s="1"/>
  <c r="F36" i="2"/>
  <c r="F63" i="2" s="1"/>
  <c r="E36" i="2"/>
  <c r="D36" i="2"/>
  <c r="C36" i="2"/>
  <c r="C154" i="2" s="1"/>
  <c r="B36" i="2"/>
  <c r="B63" i="2" s="1"/>
  <c r="H35" i="2"/>
  <c r="H34" i="2"/>
  <c r="H33" i="2"/>
  <c r="H32" i="2"/>
  <c r="H31" i="2"/>
  <c r="H30" i="2"/>
  <c r="H29" i="2"/>
  <c r="H28" i="2"/>
  <c r="H27" i="2"/>
  <c r="H36" i="2" s="1"/>
  <c r="E26" i="2"/>
  <c r="H24" i="2"/>
  <c r="H23" i="2"/>
  <c r="H22" i="2"/>
  <c r="H21" i="2"/>
  <c r="B17" i="2"/>
  <c r="B68" i="2" s="1"/>
  <c r="H68" i="2" s="1"/>
  <c r="B3" i="2"/>
  <c r="B2" i="2"/>
  <c r="BN215" i="2"/>
  <c r="B206" i="14"/>
  <c r="H206" i="14" s="1"/>
  <c r="B205" i="14"/>
  <c r="H205" i="14" s="1"/>
  <c r="B203" i="14"/>
  <c r="H203" i="14" s="1"/>
  <c r="B202" i="14"/>
  <c r="B201" i="14"/>
  <c r="BN201" i="14" s="1"/>
  <c r="B200" i="14"/>
  <c r="B199" i="14"/>
  <c r="H199" i="14" s="1"/>
  <c r="B198" i="14"/>
  <c r="B197" i="14"/>
  <c r="H185" i="14"/>
  <c r="B184" i="14"/>
  <c r="B183" i="14"/>
  <c r="BN183" i="14" s="1"/>
  <c r="B182" i="14"/>
  <c r="H182" i="14" s="1"/>
  <c r="B179" i="14"/>
  <c r="H179" i="14" s="1"/>
  <c r="B177" i="14"/>
  <c r="B176" i="14"/>
  <c r="H176" i="14" s="1"/>
  <c r="B175" i="14"/>
  <c r="H175" i="14" s="1"/>
  <c r="B174" i="14"/>
  <c r="H174" i="14" s="1"/>
  <c r="B167" i="14"/>
  <c r="BN166" i="14"/>
  <c r="B165" i="14"/>
  <c r="F11" i="7"/>
  <c r="G11" i="7"/>
  <c r="E11" i="7"/>
  <c r="D11" i="7"/>
  <c r="E12" i="7"/>
  <c r="F12" i="7"/>
  <c r="G12" i="7"/>
  <c r="D12" i="7"/>
  <c r="M246" i="14"/>
  <c r="BS220" i="14"/>
  <c r="BR220" i="14"/>
  <c r="BQ220" i="14"/>
  <c r="BP220" i="14"/>
  <c r="BO220" i="14"/>
  <c r="BN220" i="14"/>
  <c r="BL220" i="14"/>
  <c r="BK220" i="14"/>
  <c r="BJ220" i="14"/>
  <c r="BI220" i="14"/>
  <c r="BH220" i="14"/>
  <c r="BG220" i="14"/>
  <c r="BF220" i="14"/>
  <c r="BD220" i="14"/>
  <c r="BC220" i="14"/>
  <c r="BB220" i="14"/>
  <c r="BA220" i="14"/>
  <c r="AZ220" i="14"/>
  <c r="AY220" i="14"/>
  <c r="AX220" i="14"/>
  <c r="AV220" i="14"/>
  <c r="AU220" i="14"/>
  <c r="AT220" i="14"/>
  <c r="AS220" i="14"/>
  <c r="AR220" i="14"/>
  <c r="AQ220" i="14"/>
  <c r="AP220" i="14"/>
  <c r="AN220" i="14"/>
  <c r="AM220" i="14"/>
  <c r="AL220" i="14"/>
  <c r="AK220" i="14"/>
  <c r="AJ220" i="14"/>
  <c r="AI220" i="14"/>
  <c r="AH220" i="14"/>
  <c r="AF220" i="14"/>
  <c r="AE220" i="14"/>
  <c r="AD220" i="14"/>
  <c r="AC220" i="14"/>
  <c r="AB220" i="14"/>
  <c r="AA220" i="14"/>
  <c r="Z220" i="14"/>
  <c r="X220" i="14"/>
  <c r="W220" i="14"/>
  <c r="V220" i="14"/>
  <c r="U220" i="14"/>
  <c r="T220" i="14"/>
  <c r="S220" i="14"/>
  <c r="R220" i="14"/>
  <c r="P220" i="14"/>
  <c r="O220" i="14"/>
  <c r="N220" i="14"/>
  <c r="M220" i="14"/>
  <c r="L220" i="14"/>
  <c r="K220" i="14"/>
  <c r="J220" i="14"/>
  <c r="H220" i="14"/>
  <c r="G220" i="14"/>
  <c r="F220" i="14"/>
  <c r="E220" i="14"/>
  <c r="D220" i="14"/>
  <c r="C220" i="14"/>
  <c r="B220" i="14"/>
  <c r="A220" i="14"/>
  <c r="BK216" i="14"/>
  <c r="BJ216" i="14"/>
  <c r="BI216" i="14"/>
  <c r="BH216" i="14"/>
  <c r="BG216" i="14"/>
  <c r="BF216" i="14"/>
  <c r="BC216" i="14"/>
  <c r="BB216" i="14"/>
  <c r="BA216" i="14"/>
  <c r="AZ216" i="14"/>
  <c r="AY216" i="14"/>
  <c r="AX216" i="14"/>
  <c r="AU216" i="14"/>
  <c r="AT216" i="14"/>
  <c r="AS216" i="14"/>
  <c r="AR216" i="14"/>
  <c r="AQ216" i="14"/>
  <c r="AM216" i="14"/>
  <c r="AL216" i="14"/>
  <c r="AK216" i="14"/>
  <c r="AJ216" i="14"/>
  <c r="AI216" i="14"/>
  <c r="AH216" i="14"/>
  <c r="AE216" i="14"/>
  <c r="AD216" i="14"/>
  <c r="AC216" i="14"/>
  <c r="AB216" i="14"/>
  <c r="AA216" i="14"/>
  <c r="Z216" i="14"/>
  <c r="W216" i="14"/>
  <c r="V216" i="14"/>
  <c r="U216" i="14"/>
  <c r="T216" i="14"/>
  <c r="S216" i="14"/>
  <c r="R216" i="14"/>
  <c r="O216" i="14"/>
  <c r="N216" i="14"/>
  <c r="M216" i="14"/>
  <c r="L216" i="14"/>
  <c r="K216" i="14"/>
  <c r="J216" i="14"/>
  <c r="G216" i="14"/>
  <c r="F216" i="14"/>
  <c r="E216" i="14"/>
  <c r="D216" i="14"/>
  <c r="C216" i="14"/>
  <c r="BS215" i="14"/>
  <c r="BR215" i="14"/>
  <c r="BQ215" i="14"/>
  <c r="BP215" i="14"/>
  <c r="BO215" i="14"/>
  <c r="BL215" i="14"/>
  <c r="BD215" i="14"/>
  <c r="AV215" i="14"/>
  <c r="AN215" i="14"/>
  <c r="AF215" i="14"/>
  <c r="X215" i="14"/>
  <c r="P215" i="14"/>
  <c r="BS214" i="14"/>
  <c r="BR214" i="14"/>
  <c r="BQ214" i="14"/>
  <c r="BP214" i="14"/>
  <c r="BO214" i="14"/>
  <c r="BN214" i="14"/>
  <c r="BL214" i="14"/>
  <c r="BD214" i="14"/>
  <c r="AV214" i="14"/>
  <c r="AG214" i="6" s="1"/>
  <c r="E30" i="1" s="1"/>
  <c r="AN214" i="14"/>
  <c r="AF214" i="14"/>
  <c r="U214" i="6" s="1"/>
  <c r="X214" i="14"/>
  <c r="O214" i="6" s="1"/>
  <c r="P214" i="14"/>
  <c r="H214" i="14"/>
  <c r="C214" i="6" s="1"/>
  <c r="BS213" i="14"/>
  <c r="BR213" i="14"/>
  <c r="BQ213" i="14"/>
  <c r="BP213" i="14"/>
  <c r="BO213" i="14"/>
  <c r="BN213" i="14"/>
  <c r="BL213" i="14"/>
  <c r="BD213" i="14"/>
  <c r="AV213" i="14"/>
  <c r="AN213" i="14"/>
  <c r="AF213" i="14"/>
  <c r="U213" i="6" s="1"/>
  <c r="X213" i="14"/>
  <c r="O213" i="6" s="1"/>
  <c r="P213" i="14"/>
  <c r="H213" i="14"/>
  <c r="C213" i="6" s="1"/>
  <c r="E26" i="1" s="1"/>
  <c r="BS212" i="14"/>
  <c r="BS216" i="14" s="1"/>
  <c r="BR212" i="14"/>
  <c r="BQ212" i="14"/>
  <c r="BP212" i="14"/>
  <c r="BO212" i="14"/>
  <c r="BL212" i="14"/>
  <c r="BD212" i="14"/>
  <c r="AN212" i="14"/>
  <c r="AA212" i="6" s="1"/>
  <c r="AF212" i="14"/>
  <c r="X212" i="14"/>
  <c r="P212" i="14"/>
  <c r="H212" i="14"/>
  <c r="BK207" i="14"/>
  <c r="BJ207" i="14"/>
  <c r="BI207" i="14"/>
  <c r="BH207" i="14"/>
  <c r="BG207" i="14"/>
  <c r="BF207" i="14"/>
  <c r="BC207" i="14"/>
  <c r="BB207" i="14"/>
  <c r="BA207" i="14"/>
  <c r="AZ207" i="14"/>
  <c r="AY207" i="14"/>
  <c r="AX207" i="14"/>
  <c r="AU207" i="14"/>
  <c r="AT207" i="14"/>
  <c r="AS207" i="14"/>
  <c r="AR207" i="14"/>
  <c r="AQ207" i="14"/>
  <c r="AM207" i="14"/>
  <c r="AL207" i="14"/>
  <c r="AK207" i="14"/>
  <c r="AJ207" i="14"/>
  <c r="AI207" i="14"/>
  <c r="AE207" i="14"/>
  <c r="AD207" i="14"/>
  <c r="AC207" i="14"/>
  <c r="AB207" i="14"/>
  <c r="AA207" i="14"/>
  <c r="W207" i="14"/>
  <c r="V207" i="14"/>
  <c r="U207" i="14"/>
  <c r="T207" i="14"/>
  <c r="S207" i="14"/>
  <c r="O207" i="14"/>
  <c r="N207" i="14"/>
  <c r="M207" i="14"/>
  <c r="L207" i="14"/>
  <c r="K207" i="14"/>
  <c r="J207" i="14"/>
  <c r="G207" i="14"/>
  <c r="F207" i="14"/>
  <c r="E207" i="14"/>
  <c r="D207" i="14"/>
  <c r="C207" i="14"/>
  <c r="BS206" i="14"/>
  <c r="BR206" i="14"/>
  <c r="BQ206" i="14"/>
  <c r="BP206" i="14"/>
  <c r="BO206" i="14"/>
  <c r="BL206" i="14"/>
  <c r="BD206" i="14"/>
  <c r="AV206" i="14"/>
  <c r="AN206" i="14"/>
  <c r="AF206" i="14"/>
  <c r="X206" i="14"/>
  <c r="P206" i="14"/>
  <c r="BS205" i="14"/>
  <c r="BR205" i="14"/>
  <c r="BQ205" i="14"/>
  <c r="BP205" i="14"/>
  <c r="BO205" i="14"/>
  <c r="BL205" i="14"/>
  <c r="BD205" i="14"/>
  <c r="AV205" i="14"/>
  <c r="AF205" i="14"/>
  <c r="X205" i="14"/>
  <c r="P205" i="14"/>
  <c r="BS204" i="14"/>
  <c r="BR204" i="14"/>
  <c r="BQ204" i="14"/>
  <c r="BP204" i="14"/>
  <c r="BO204" i="14"/>
  <c r="BN204" i="14"/>
  <c r="BL204" i="14"/>
  <c r="BD204" i="14"/>
  <c r="AV204" i="14"/>
  <c r="AN204" i="14"/>
  <c r="AF204" i="14"/>
  <c r="X204" i="14"/>
  <c r="P204" i="14"/>
  <c r="H204" i="14"/>
  <c r="BS203" i="14"/>
  <c r="BR203" i="14"/>
  <c r="BQ203" i="14"/>
  <c r="BP203" i="14"/>
  <c r="BO203" i="14"/>
  <c r="BL203" i="14"/>
  <c r="BD203" i="14"/>
  <c r="AV203" i="14"/>
  <c r="AN203" i="14"/>
  <c r="AF203" i="14"/>
  <c r="X203" i="14"/>
  <c r="P203" i="14"/>
  <c r="BS202" i="14"/>
  <c r="BR202" i="14"/>
  <c r="BQ202" i="14"/>
  <c r="BP202" i="14"/>
  <c r="BO202" i="14"/>
  <c r="BL202" i="14"/>
  <c r="BD202" i="14"/>
  <c r="AN202" i="14"/>
  <c r="AF202" i="14"/>
  <c r="X202" i="14"/>
  <c r="P202" i="14"/>
  <c r="BS201" i="14"/>
  <c r="BR201" i="14"/>
  <c r="BQ201" i="14"/>
  <c r="BP201" i="14"/>
  <c r="BO201" i="14"/>
  <c r="BL201" i="14"/>
  <c r="BD201" i="14"/>
  <c r="AV201" i="14"/>
  <c r="AN201" i="14"/>
  <c r="AF201" i="14"/>
  <c r="X201" i="14"/>
  <c r="P201" i="14"/>
  <c r="BS200" i="14"/>
  <c r="BR200" i="14"/>
  <c r="BQ200" i="14"/>
  <c r="BP200" i="14"/>
  <c r="BO200" i="14"/>
  <c r="BL200" i="14"/>
  <c r="BD200" i="14"/>
  <c r="AV200" i="14"/>
  <c r="AN200" i="14"/>
  <c r="AF200" i="14"/>
  <c r="X200" i="14"/>
  <c r="P200" i="14"/>
  <c r="BS199" i="14"/>
  <c r="BR199" i="14"/>
  <c r="BQ199" i="14"/>
  <c r="BP199" i="14"/>
  <c r="BO199" i="14"/>
  <c r="BL199" i="14"/>
  <c r="BD199" i="14"/>
  <c r="AV199" i="14"/>
  <c r="AN199" i="14"/>
  <c r="AF199" i="14"/>
  <c r="X199" i="14"/>
  <c r="P199" i="14"/>
  <c r="BS198" i="14"/>
  <c r="BR198" i="14"/>
  <c r="BQ198" i="14"/>
  <c r="BP198" i="14"/>
  <c r="BO198" i="14"/>
  <c r="BN198" i="14"/>
  <c r="BL198" i="14"/>
  <c r="BD198" i="14"/>
  <c r="AV198" i="14"/>
  <c r="AN198" i="14"/>
  <c r="AF198" i="14"/>
  <c r="X198" i="14"/>
  <c r="P198" i="14"/>
  <c r="H198" i="14"/>
  <c r="BS197" i="14"/>
  <c r="BR197" i="14"/>
  <c r="BQ197" i="14"/>
  <c r="BP197" i="14"/>
  <c r="BO197" i="14"/>
  <c r="BN197" i="14"/>
  <c r="BL197" i="14"/>
  <c r="BD197" i="14"/>
  <c r="BD207" i="14" s="1"/>
  <c r="AV197" i="14"/>
  <c r="AN197" i="14"/>
  <c r="AF197" i="14"/>
  <c r="X197" i="14"/>
  <c r="P197" i="14"/>
  <c r="H197" i="14"/>
  <c r="BK194" i="14"/>
  <c r="BI194" i="14"/>
  <c r="BH194" i="14"/>
  <c r="BG194" i="14"/>
  <c r="BF194" i="14"/>
  <c r="BC194" i="14"/>
  <c r="BB194" i="14"/>
  <c r="BA194" i="14"/>
  <c r="AZ194" i="14"/>
  <c r="AY194" i="14"/>
  <c r="AT194" i="14"/>
  <c r="AS194" i="14"/>
  <c r="AQ194" i="14"/>
  <c r="AL194" i="14"/>
  <c r="AK194" i="14"/>
  <c r="AJ194" i="14"/>
  <c r="AI194" i="14"/>
  <c r="AD194" i="14"/>
  <c r="AC194" i="14"/>
  <c r="AA194" i="14"/>
  <c r="W194" i="14"/>
  <c r="V194" i="14"/>
  <c r="U194" i="14"/>
  <c r="S194" i="14"/>
  <c r="O194" i="14"/>
  <c r="N194" i="14"/>
  <c r="M194" i="14"/>
  <c r="K194" i="14"/>
  <c r="F194" i="14"/>
  <c r="E194" i="14"/>
  <c r="C194" i="14"/>
  <c r="BS193" i="14"/>
  <c r="BR193" i="14"/>
  <c r="BQ193" i="14"/>
  <c r="BP193" i="14"/>
  <c r="BO193" i="14"/>
  <c r="BL193" i="14"/>
  <c r="AV193" i="14"/>
  <c r="AG193" i="6" s="1"/>
  <c r="BS192" i="14"/>
  <c r="BR192" i="14"/>
  <c r="BQ192" i="14"/>
  <c r="BP192" i="14"/>
  <c r="BO192" i="14"/>
  <c r="BN192" i="14"/>
  <c r="BJ192" i="14"/>
  <c r="BJ194" i="14" s="1"/>
  <c r="BD192" i="14"/>
  <c r="AV192" i="14"/>
  <c r="AN192" i="14"/>
  <c r="AF192" i="14"/>
  <c r="X192" i="14"/>
  <c r="P192" i="14"/>
  <c r="H192" i="14"/>
  <c r="BR191" i="14"/>
  <c r="BQ191" i="14"/>
  <c r="BP191" i="14"/>
  <c r="BO191" i="14"/>
  <c r="BN191" i="14"/>
  <c r="BL191" i="14"/>
  <c r="BC191" i="14"/>
  <c r="BD191" i="14" s="1"/>
  <c r="AU191" i="14"/>
  <c r="AU194" i="14" s="1"/>
  <c r="AM191" i="14"/>
  <c r="AE191" i="14"/>
  <c r="AE194" i="14" s="1"/>
  <c r="X191" i="14"/>
  <c r="W191" i="14"/>
  <c r="O191" i="14"/>
  <c r="P191" i="14" s="1"/>
  <c r="G191" i="14"/>
  <c r="BS190" i="14"/>
  <c r="BR190" i="14"/>
  <c r="BQ190" i="14"/>
  <c r="BP190" i="14"/>
  <c r="BO190" i="14"/>
  <c r="BN190" i="14"/>
  <c r="BL190" i="14"/>
  <c r="BD190" i="14"/>
  <c r="AV190" i="14"/>
  <c r="AN190" i="14"/>
  <c r="AF190" i="14"/>
  <c r="X190" i="14"/>
  <c r="P190" i="14"/>
  <c r="H190" i="14"/>
  <c r="BS189" i="14"/>
  <c r="BR189" i="14"/>
  <c r="BQ189" i="14"/>
  <c r="BP189" i="14"/>
  <c r="BO189" i="14"/>
  <c r="BN189" i="14"/>
  <c r="BT189" i="14" s="1"/>
  <c r="BL189" i="14"/>
  <c r="BD189" i="14"/>
  <c r="AV189" i="14"/>
  <c r="AN189" i="14"/>
  <c r="AF189" i="14"/>
  <c r="X189" i="14"/>
  <c r="P189" i="14"/>
  <c r="H189" i="14"/>
  <c r="BS188" i="14"/>
  <c r="BR188" i="14"/>
  <c r="BQ188" i="14"/>
  <c r="BP188" i="14"/>
  <c r="BO188" i="14"/>
  <c r="BN188" i="14"/>
  <c r="BL188" i="14"/>
  <c r="BD188" i="14"/>
  <c r="AV188" i="14"/>
  <c r="AN188" i="14"/>
  <c r="AF188" i="14"/>
  <c r="X188" i="14"/>
  <c r="P188" i="14"/>
  <c r="H188" i="14"/>
  <c r="BS187" i="14"/>
  <c r="BR187" i="14"/>
  <c r="BQ187" i="14"/>
  <c r="BP187" i="14"/>
  <c r="BO187" i="14"/>
  <c r="BN187" i="14"/>
  <c r="BL187" i="14"/>
  <c r="BD187" i="14"/>
  <c r="AV187" i="14"/>
  <c r="AN187" i="14"/>
  <c r="AF187" i="14"/>
  <c r="X187" i="14"/>
  <c r="P187" i="14"/>
  <c r="H187" i="14"/>
  <c r="BS186" i="14"/>
  <c r="BR186" i="14"/>
  <c r="BQ186" i="14"/>
  <c r="BP186" i="14"/>
  <c r="BO186" i="14"/>
  <c r="BN186" i="14"/>
  <c r="BL186" i="14"/>
  <c r="BD186" i="14"/>
  <c r="AV186" i="14"/>
  <c r="AN186" i="14"/>
  <c r="AF186" i="14"/>
  <c r="X186" i="14"/>
  <c r="P186" i="14"/>
  <c r="H186" i="14"/>
  <c r="BS185" i="14"/>
  <c r="BR185" i="14"/>
  <c r="BQ185" i="14"/>
  <c r="BP185" i="14"/>
  <c r="BO185" i="14"/>
  <c r="BL185" i="14"/>
  <c r="AS185" i="6" s="1"/>
  <c r="BD185" i="14"/>
  <c r="AN185" i="14"/>
  <c r="AA185" i="6" s="1"/>
  <c r="AF185" i="14"/>
  <c r="X185" i="14"/>
  <c r="P185" i="14"/>
  <c r="BS184" i="14"/>
  <c r="BR184" i="14"/>
  <c r="BQ184" i="14"/>
  <c r="BP184" i="14"/>
  <c r="BO184" i="14"/>
  <c r="BN184" i="14"/>
  <c r="BL184" i="14"/>
  <c r="BD184" i="14"/>
  <c r="AV184" i="14"/>
  <c r="AN184" i="14"/>
  <c r="AF184" i="14"/>
  <c r="X184" i="14"/>
  <c r="P184" i="14"/>
  <c r="H184" i="14"/>
  <c r="BS183" i="14"/>
  <c r="BR183" i="14"/>
  <c r="BQ183" i="14"/>
  <c r="BP183" i="14"/>
  <c r="BO183" i="14"/>
  <c r="BL183" i="14"/>
  <c r="BD183" i="14"/>
  <c r="AV183" i="14"/>
  <c r="AN183" i="14"/>
  <c r="AF183" i="14"/>
  <c r="X183" i="14"/>
  <c r="P183" i="14"/>
  <c r="H183" i="14"/>
  <c r="BS182" i="14"/>
  <c r="BR182" i="14"/>
  <c r="BQ182" i="14"/>
  <c r="BP182" i="14"/>
  <c r="BO182" i="14"/>
  <c r="BL182" i="14"/>
  <c r="BD182" i="14"/>
  <c r="AV182" i="14"/>
  <c r="AN182" i="14"/>
  <c r="AF182" i="14"/>
  <c r="X182" i="14"/>
  <c r="P182" i="14"/>
  <c r="BS181" i="14"/>
  <c r="BR181" i="14"/>
  <c r="BQ181" i="14"/>
  <c r="BO181" i="14"/>
  <c r="BN181" i="14"/>
  <c r="BL181" i="14"/>
  <c r="BD181" i="14"/>
  <c r="AV181" i="14"/>
  <c r="AN181" i="14"/>
  <c r="AB194" i="14"/>
  <c r="T194" i="14"/>
  <c r="BP181" i="14"/>
  <c r="BS180" i="14"/>
  <c r="BR180" i="14"/>
  <c r="BQ180" i="14"/>
  <c r="BO180" i="14"/>
  <c r="BN180" i="14"/>
  <c r="BL180" i="14"/>
  <c r="BD180" i="14"/>
  <c r="AN180" i="14"/>
  <c r="AF180" i="14"/>
  <c r="X180" i="14"/>
  <c r="P180" i="14"/>
  <c r="BS179" i="14"/>
  <c r="BR179" i="14"/>
  <c r="BQ179" i="14"/>
  <c r="BP179" i="14"/>
  <c r="BO179" i="14"/>
  <c r="BN179" i="14"/>
  <c r="BL179" i="14"/>
  <c r="BD179" i="14"/>
  <c r="AV179" i="14"/>
  <c r="AN179" i="14"/>
  <c r="AF179" i="14"/>
  <c r="X179" i="14"/>
  <c r="P179" i="14"/>
  <c r="BS178" i="14"/>
  <c r="BR178" i="14"/>
  <c r="BQ178" i="14"/>
  <c r="BP178" i="14"/>
  <c r="BO178" i="14"/>
  <c r="BL178" i="14"/>
  <c r="BS177" i="14"/>
  <c r="BR177" i="14"/>
  <c r="BQ177" i="14"/>
  <c r="BP177" i="14"/>
  <c r="BO177" i="14"/>
  <c r="BL177" i="14"/>
  <c r="BD177" i="14"/>
  <c r="AV177" i="14"/>
  <c r="AN177" i="14"/>
  <c r="AF177" i="14"/>
  <c r="X177" i="14"/>
  <c r="P177" i="14"/>
  <c r="BS176" i="14"/>
  <c r="BR176" i="14"/>
  <c r="BQ176" i="14"/>
  <c r="BP176" i="14"/>
  <c r="BO176" i="14"/>
  <c r="BN176" i="14"/>
  <c r="BL176" i="14"/>
  <c r="BD176" i="14"/>
  <c r="AV176" i="14"/>
  <c r="AN176" i="14"/>
  <c r="AF176" i="14"/>
  <c r="X176" i="14"/>
  <c r="P176" i="14"/>
  <c r="BS175" i="14"/>
  <c r="BR175" i="14"/>
  <c r="BQ175" i="14"/>
  <c r="BP175" i="14"/>
  <c r="BO175" i="14"/>
  <c r="BN175" i="14"/>
  <c r="BL175" i="14"/>
  <c r="BD175" i="14"/>
  <c r="AV175" i="14"/>
  <c r="AN175" i="14"/>
  <c r="AF175" i="14"/>
  <c r="X175" i="14"/>
  <c r="P175" i="14"/>
  <c r="BS174" i="14"/>
  <c r="BR174" i="14"/>
  <c r="BQ174" i="14"/>
  <c r="BP174" i="14"/>
  <c r="BO174" i="14"/>
  <c r="BL174" i="14"/>
  <c r="BD174" i="14"/>
  <c r="AV174" i="14"/>
  <c r="AF174" i="14"/>
  <c r="P174" i="14"/>
  <c r="X173" i="14"/>
  <c r="X196" i="14" s="1"/>
  <c r="BK171" i="14"/>
  <c r="BJ171" i="14"/>
  <c r="BI171" i="14"/>
  <c r="BH171" i="14"/>
  <c r="BG171" i="14"/>
  <c r="BF171" i="14"/>
  <c r="BC171" i="14"/>
  <c r="BB171" i="14"/>
  <c r="BA171" i="14"/>
  <c r="AZ171" i="14"/>
  <c r="AY171" i="14"/>
  <c r="AU171" i="14"/>
  <c r="AT171" i="14"/>
  <c r="AS171" i="14"/>
  <c r="AR171" i="14"/>
  <c r="AQ171" i="14"/>
  <c r="AM171" i="14"/>
  <c r="AL171" i="14"/>
  <c r="AK171" i="14"/>
  <c r="AJ171" i="14"/>
  <c r="AI171" i="14"/>
  <c r="AE171" i="14"/>
  <c r="AD171" i="14"/>
  <c r="AC171" i="14"/>
  <c r="AB171" i="14"/>
  <c r="AA171" i="14"/>
  <c r="W171" i="14"/>
  <c r="V171" i="14"/>
  <c r="U171" i="14"/>
  <c r="T171" i="14"/>
  <c r="S171" i="14"/>
  <c r="O171" i="14"/>
  <c r="N171" i="14"/>
  <c r="M171" i="14"/>
  <c r="L171" i="14"/>
  <c r="K171" i="14"/>
  <c r="G171" i="14"/>
  <c r="F171" i="14"/>
  <c r="E171" i="14"/>
  <c r="D171" i="14"/>
  <c r="C171" i="14"/>
  <c r="BS170" i="14"/>
  <c r="BR170" i="14"/>
  <c r="BQ170" i="14"/>
  <c r="BP170" i="14"/>
  <c r="BO170" i="14"/>
  <c r="BL170" i="14"/>
  <c r="BS169" i="14"/>
  <c r="BR169" i="14"/>
  <c r="BQ169" i="14"/>
  <c r="BP169" i="14"/>
  <c r="BO169" i="14"/>
  <c r="BN169" i="14"/>
  <c r="BL169" i="14"/>
  <c r="BD169" i="14"/>
  <c r="AV169" i="14"/>
  <c r="AN169" i="14"/>
  <c r="AF169" i="14"/>
  <c r="X169" i="14"/>
  <c r="P169" i="14"/>
  <c r="H169" i="14"/>
  <c r="BS168" i="14"/>
  <c r="BR168" i="14"/>
  <c r="BQ168" i="14"/>
  <c r="BP168" i="14"/>
  <c r="BO168" i="14"/>
  <c r="BL168" i="14"/>
  <c r="BS167" i="14"/>
  <c r="BR167" i="14"/>
  <c r="BQ167" i="14"/>
  <c r="BP167" i="14"/>
  <c r="BO167" i="14"/>
  <c r="BN167" i="14"/>
  <c r="BT167" i="14" s="1"/>
  <c r="BL167" i="14"/>
  <c r="BD167" i="14"/>
  <c r="AV167" i="14"/>
  <c r="AN167" i="14"/>
  <c r="AF167" i="14"/>
  <c r="X167" i="14"/>
  <c r="P167" i="14"/>
  <c r="H167" i="14"/>
  <c r="BS166" i="14"/>
  <c r="BR166" i="14"/>
  <c r="BQ166" i="14"/>
  <c r="BP166" i="14"/>
  <c r="BP171" i="14" s="1"/>
  <c r="BO166" i="14"/>
  <c r="BL166" i="14"/>
  <c r="BD166" i="14"/>
  <c r="AV166" i="14"/>
  <c r="AN166" i="14"/>
  <c r="AF166" i="14"/>
  <c r="X166" i="14"/>
  <c r="P166" i="14"/>
  <c r="H166" i="14"/>
  <c r="BS165" i="14"/>
  <c r="BR165" i="14"/>
  <c r="BQ165" i="14"/>
  <c r="BP165" i="14"/>
  <c r="BO165" i="14"/>
  <c r="BL165" i="14"/>
  <c r="BD165" i="14"/>
  <c r="AV165" i="14"/>
  <c r="AN165" i="14"/>
  <c r="AF165" i="14"/>
  <c r="X165" i="14"/>
  <c r="H165" i="14"/>
  <c r="BS164" i="14"/>
  <c r="BR164" i="14"/>
  <c r="BQ164" i="14"/>
  <c r="BP164" i="14"/>
  <c r="BO164" i="14"/>
  <c r="BL164" i="14"/>
  <c r="BS163" i="14"/>
  <c r="BR163" i="14"/>
  <c r="BQ163" i="14"/>
  <c r="BP163" i="14"/>
  <c r="BO163" i="14"/>
  <c r="BL163" i="14"/>
  <c r="AX163" i="14"/>
  <c r="AV163" i="14"/>
  <c r="AN163" i="14"/>
  <c r="AF163" i="14"/>
  <c r="X163" i="14"/>
  <c r="P163" i="14"/>
  <c r="H163" i="14"/>
  <c r="BS162" i="14"/>
  <c r="BR162" i="14"/>
  <c r="BQ162" i="14"/>
  <c r="BP162" i="14"/>
  <c r="BO162" i="14"/>
  <c r="BN162" i="14"/>
  <c r="BL162" i="14"/>
  <c r="BD162" i="14"/>
  <c r="AV162" i="14"/>
  <c r="AN162" i="14"/>
  <c r="AF162" i="14"/>
  <c r="X162" i="14"/>
  <c r="P162" i="14"/>
  <c r="H162" i="14"/>
  <c r="BK159" i="14"/>
  <c r="BJ159" i="14"/>
  <c r="BI159" i="14"/>
  <c r="BH159" i="14"/>
  <c r="BG159" i="14"/>
  <c r="BF159" i="14"/>
  <c r="V159" i="14"/>
  <c r="U159" i="14"/>
  <c r="T159" i="14"/>
  <c r="BS158" i="14"/>
  <c r="BR158" i="14"/>
  <c r="BQ158" i="14"/>
  <c r="BP158" i="14"/>
  <c r="BO158" i="14"/>
  <c r="BN158" i="14"/>
  <c r="BL158" i="14"/>
  <c r="BD158" i="14"/>
  <c r="AV158" i="14"/>
  <c r="AN158" i="14"/>
  <c r="AF158" i="14"/>
  <c r="X158" i="14"/>
  <c r="P158" i="14"/>
  <c r="H158" i="14"/>
  <c r="BS157" i="14"/>
  <c r="BR157" i="14"/>
  <c r="BQ157" i="14"/>
  <c r="BP157" i="14"/>
  <c r="BO157" i="14"/>
  <c r="BL157" i="14"/>
  <c r="BS156" i="14"/>
  <c r="BR156" i="14"/>
  <c r="BQ156" i="14"/>
  <c r="BP156" i="14"/>
  <c r="BO156" i="14"/>
  <c r="BL156" i="14"/>
  <c r="BS155" i="14"/>
  <c r="BR155" i="14"/>
  <c r="BQ155" i="14"/>
  <c r="BP155" i="14"/>
  <c r="BO155" i="14"/>
  <c r="BL155" i="14"/>
  <c r="AV155" i="14"/>
  <c r="AN155" i="14"/>
  <c r="AF155" i="14"/>
  <c r="X155" i="14"/>
  <c r="P155" i="14"/>
  <c r="H155" i="14"/>
  <c r="BL154" i="14"/>
  <c r="BC154" i="14"/>
  <c r="BC159" i="14" s="1"/>
  <c r="BB154" i="14"/>
  <c r="BB159" i="14" s="1"/>
  <c r="AU154" i="14"/>
  <c r="AU159" i="14" s="1"/>
  <c r="AT154" i="14"/>
  <c r="AT159" i="14" s="1"/>
  <c r="AM154" i="14"/>
  <c r="AM159" i="14" s="1"/>
  <c r="AL154" i="14"/>
  <c r="AL159" i="14" s="1"/>
  <c r="AK154" i="14"/>
  <c r="AK159" i="14" s="1"/>
  <c r="AE154" i="14"/>
  <c r="AE159" i="14" s="1"/>
  <c r="AD154" i="14"/>
  <c r="AD159" i="14" s="1"/>
  <c r="W154" i="14"/>
  <c r="W159" i="14" s="1"/>
  <c r="V154" i="14"/>
  <c r="O154" i="14"/>
  <c r="O159" i="14" s="1"/>
  <c r="N154" i="14"/>
  <c r="N159" i="14" s="1"/>
  <c r="G154" i="14"/>
  <c r="G159" i="14" s="1"/>
  <c r="F154" i="14"/>
  <c r="F159" i="14" s="1"/>
  <c r="BS153" i="14"/>
  <c r="BR153" i="14"/>
  <c r="BQ153" i="14"/>
  <c r="BP153" i="14"/>
  <c r="BN153" i="14"/>
  <c r="BL153" i="14"/>
  <c r="BS152" i="14"/>
  <c r="BR152" i="14"/>
  <c r="BQ152" i="14"/>
  <c r="BP152" i="14"/>
  <c r="BO152" i="14"/>
  <c r="BL152" i="14"/>
  <c r="BD152" i="14"/>
  <c r="AV152" i="14"/>
  <c r="AN152" i="14"/>
  <c r="AF152" i="14"/>
  <c r="X152" i="14"/>
  <c r="P152" i="14"/>
  <c r="H152" i="14"/>
  <c r="AK151" i="14"/>
  <c r="AK161" i="14" s="1"/>
  <c r="AK173" i="14" s="1"/>
  <c r="AK196" i="14" s="1"/>
  <c r="H151" i="14"/>
  <c r="H161" i="14" s="1"/>
  <c r="H173" i="14" s="1"/>
  <c r="H196" i="14" s="1"/>
  <c r="BK149" i="14"/>
  <c r="BJ149" i="14"/>
  <c r="BI149" i="14"/>
  <c r="BH149" i="14"/>
  <c r="BG149" i="14"/>
  <c r="BC149" i="14"/>
  <c r="BB149" i="14"/>
  <c r="BA149" i="14"/>
  <c r="AZ149" i="14"/>
  <c r="AY149" i="14"/>
  <c r="AU149" i="14"/>
  <c r="AT149" i="14"/>
  <c r="AS149" i="14"/>
  <c r="AR149" i="14"/>
  <c r="AQ149" i="14"/>
  <c r="AM149" i="14"/>
  <c r="AL149" i="14"/>
  <c r="AK149" i="14"/>
  <c r="AJ149" i="14"/>
  <c r="AI149" i="14"/>
  <c r="AE149" i="14"/>
  <c r="AD149" i="14"/>
  <c r="AC149" i="14"/>
  <c r="AB149" i="14"/>
  <c r="AA149" i="14"/>
  <c r="W149" i="14"/>
  <c r="V149" i="14"/>
  <c r="U149" i="14"/>
  <c r="T149" i="14"/>
  <c r="S149" i="14"/>
  <c r="O149" i="14"/>
  <c r="N149" i="14"/>
  <c r="M149" i="14"/>
  <c r="L149" i="14"/>
  <c r="K149" i="14"/>
  <c r="G149" i="14"/>
  <c r="F149" i="14"/>
  <c r="E149" i="14"/>
  <c r="D149" i="14"/>
  <c r="C149" i="14"/>
  <c r="BS148" i="14"/>
  <c r="BR148" i="14"/>
  <c r="BQ148" i="14"/>
  <c r="BP148" i="14"/>
  <c r="BO148" i="14"/>
  <c r="BD148" i="14"/>
  <c r="BS147" i="14"/>
  <c r="BR147" i="14"/>
  <c r="BQ147" i="14"/>
  <c r="BP147" i="14"/>
  <c r="BO147" i="14"/>
  <c r="BN147" i="14"/>
  <c r="BL147" i="14"/>
  <c r="BD147" i="14"/>
  <c r="AV147" i="14"/>
  <c r="AN147" i="14"/>
  <c r="AF147" i="14"/>
  <c r="X147" i="14"/>
  <c r="P147" i="14"/>
  <c r="H147" i="14"/>
  <c r="BS146" i="14"/>
  <c r="BR146" i="14"/>
  <c r="BQ146" i="14"/>
  <c r="BP146" i="14"/>
  <c r="BO146" i="14"/>
  <c r="BD146" i="14"/>
  <c r="BS145" i="14"/>
  <c r="BR145" i="14"/>
  <c r="BQ145" i="14"/>
  <c r="BP145" i="14"/>
  <c r="BO145" i="14"/>
  <c r="BS144" i="14"/>
  <c r="BR144" i="14"/>
  <c r="BQ144" i="14"/>
  <c r="BP144" i="14"/>
  <c r="BO144" i="14"/>
  <c r="BL144" i="14"/>
  <c r="BI143" i="14"/>
  <c r="X143" i="14"/>
  <c r="X151" i="14" s="1"/>
  <c r="X161" i="14" s="1"/>
  <c r="U143" i="14"/>
  <c r="H143" i="14"/>
  <c r="BK141" i="14"/>
  <c r="BJ141" i="14"/>
  <c r="BI141" i="14"/>
  <c r="BH141" i="14"/>
  <c r="BC141" i="14"/>
  <c r="BB141" i="14"/>
  <c r="BA141" i="14"/>
  <c r="AZ141" i="14"/>
  <c r="AU141" i="14"/>
  <c r="AT141" i="14"/>
  <c r="AS141" i="14"/>
  <c r="AR141" i="14"/>
  <c r="AM141" i="14"/>
  <c r="AL141" i="14"/>
  <c r="AK141" i="14"/>
  <c r="AJ141" i="14"/>
  <c r="AE141" i="14"/>
  <c r="AD141" i="14"/>
  <c r="AC141" i="14"/>
  <c r="AB141" i="14"/>
  <c r="W141" i="14"/>
  <c r="V141" i="14"/>
  <c r="U141" i="14"/>
  <c r="T141" i="14"/>
  <c r="S141" i="14"/>
  <c r="O141" i="14"/>
  <c r="N141" i="14"/>
  <c r="M141" i="14"/>
  <c r="L141" i="14"/>
  <c r="K141" i="14"/>
  <c r="G141" i="14"/>
  <c r="F141" i="14"/>
  <c r="E141" i="14"/>
  <c r="D141" i="14"/>
  <c r="BS140" i="14"/>
  <c r="BR140" i="14"/>
  <c r="BQ140" i="14"/>
  <c r="BP140" i="14"/>
  <c r="BN140" i="14"/>
  <c r="BG140" i="14"/>
  <c r="BL140" i="14" s="1"/>
  <c r="AY141" i="14"/>
  <c r="AQ140" i="14"/>
  <c r="AV140" i="14" s="1"/>
  <c r="AF140" i="14"/>
  <c r="X140" i="14"/>
  <c r="P140" i="14"/>
  <c r="BS139" i="14"/>
  <c r="BR139" i="14"/>
  <c r="BQ139" i="14"/>
  <c r="BP139" i="14"/>
  <c r="BO139" i="14"/>
  <c r="BD139" i="14"/>
  <c r="AV139" i="14"/>
  <c r="AN139" i="14"/>
  <c r="AF139" i="14"/>
  <c r="X139" i="14"/>
  <c r="P139" i="14"/>
  <c r="H139" i="14"/>
  <c r="BS138" i="14"/>
  <c r="BR138" i="14"/>
  <c r="BQ138" i="14"/>
  <c r="BP138" i="14"/>
  <c r="BO138" i="14"/>
  <c r="BF138" i="14"/>
  <c r="BS137" i="14"/>
  <c r="BR137" i="14"/>
  <c r="BQ137" i="14"/>
  <c r="BP137" i="14"/>
  <c r="BO137" i="14"/>
  <c r="BL137" i="14"/>
  <c r="BD137" i="14"/>
  <c r="AV137" i="14"/>
  <c r="AH137" i="14"/>
  <c r="AN137" i="14" s="1"/>
  <c r="AF137" i="14"/>
  <c r="X137" i="14"/>
  <c r="H137" i="14"/>
  <c r="BS136" i="14"/>
  <c r="BR136" i="14"/>
  <c r="BQ136" i="14"/>
  <c r="BP136" i="14"/>
  <c r="BO136" i="14"/>
  <c r="BN136" i="14"/>
  <c r="BL136" i="14"/>
  <c r="BD136" i="14"/>
  <c r="AV136" i="14"/>
  <c r="AN136" i="14"/>
  <c r="AF136" i="14"/>
  <c r="X136" i="14"/>
  <c r="P136" i="14"/>
  <c r="H136" i="14"/>
  <c r="BS135" i="14"/>
  <c r="BR135" i="14"/>
  <c r="BQ135" i="14"/>
  <c r="BP135" i="14"/>
  <c r="BO135" i="14"/>
  <c r="BL135" i="14"/>
  <c r="AX135" i="14"/>
  <c r="AV135" i="14"/>
  <c r="AN135" i="14"/>
  <c r="AF135" i="14"/>
  <c r="P135" i="14"/>
  <c r="BS131" i="14"/>
  <c r="BR131" i="14"/>
  <c r="BQ131" i="14"/>
  <c r="BP131" i="14"/>
  <c r="BO131" i="14"/>
  <c r="BN131" i="14"/>
  <c r="BL131" i="14"/>
  <c r="BD131" i="14"/>
  <c r="AV131" i="14"/>
  <c r="AN131" i="14"/>
  <c r="AF131" i="14"/>
  <c r="X131" i="14"/>
  <c r="P131" i="14"/>
  <c r="H131" i="14"/>
  <c r="BS130" i="14"/>
  <c r="BR130" i="14"/>
  <c r="BQ130" i="14"/>
  <c r="BP130" i="14"/>
  <c r="BO130" i="14"/>
  <c r="BL130" i="14"/>
  <c r="AV130" i="14"/>
  <c r="AN130" i="14"/>
  <c r="AF130" i="14"/>
  <c r="X130" i="14"/>
  <c r="P130" i="14"/>
  <c r="H130" i="14"/>
  <c r="BK129" i="14"/>
  <c r="BJ129" i="14"/>
  <c r="BI129" i="14"/>
  <c r="BF129" i="14"/>
  <c r="BC129" i="14"/>
  <c r="BB129" i="14"/>
  <c r="AK129" i="14"/>
  <c r="AJ129" i="14"/>
  <c r="V129" i="14"/>
  <c r="U129" i="14"/>
  <c r="T129" i="14"/>
  <c r="C129" i="14"/>
  <c r="AB128" i="14"/>
  <c r="U128" i="14"/>
  <c r="T128" i="14"/>
  <c r="S128" i="14"/>
  <c r="R128" i="14"/>
  <c r="BG127" i="14"/>
  <c r="BJ125" i="14"/>
  <c r="BI125" i="14"/>
  <c r="BH125" i="14"/>
  <c r="BG125" i="14"/>
  <c r="BG126" i="14" s="1"/>
  <c r="BB125" i="14"/>
  <c r="BA125" i="14"/>
  <c r="AZ125" i="14"/>
  <c r="AY125" i="14"/>
  <c r="AS125" i="14"/>
  <c r="AR125" i="14"/>
  <c r="AL125" i="14"/>
  <c r="AK125" i="14"/>
  <c r="AJ125" i="14"/>
  <c r="AE125" i="14"/>
  <c r="AD125" i="14"/>
  <c r="AC125" i="14"/>
  <c r="AB125" i="14"/>
  <c r="V125" i="14"/>
  <c r="V126" i="14" s="1"/>
  <c r="U125" i="14"/>
  <c r="U126" i="14" s="1"/>
  <c r="T125" i="14"/>
  <c r="T126" i="14" s="1"/>
  <c r="O125" i="14"/>
  <c r="O126" i="14" s="1"/>
  <c r="N125" i="14"/>
  <c r="N126" i="14" s="1"/>
  <c r="M125" i="14"/>
  <c r="M126" i="14" s="1"/>
  <c r="L125" i="14"/>
  <c r="L126" i="14" s="1"/>
  <c r="D125" i="14"/>
  <c r="D126" i="14" s="1"/>
  <c r="BS124" i="14"/>
  <c r="BR124" i="14"/>
  <c r="BQ124" i="14"/>
  <c r="BP124" i="14"/>
  <c r="BO124" i="14"/>
  <c r="BL124" i="14"/>
  <c r="AX124" i="14"/>
  <c r="BD124" i="14" s="1"/>
  <c r="AP124" i="14"/>
  <c r="AV124" i="14" s="1"/>
  <c r="AF124" i="14"/>
  <c r="X124" i="14"/>
  <c r="P124" i="14"/>
  <c r="BR123" i="14"/>
  <c r="BQ123" i="14"/>
  <c r="BP123" i="14"/>
  <c r="BK123" i="14"/>
  <c r="BK125" i="14" s="1"/>
  <c r="BK127" i="14" s="1"/>
  <c r="BC123" i="14"/>
  <c r="BC125" i="14" s="1"/>
  <c r="AU123" i="14"/>
  <c r="AU125" i="14" s="1"/>
  <c r="AT125" i="14"/>
  <c r="AM123" i="14"/>
  <c r="AM125" i="14" s="1"/>
  <c r="AN123" i="14"/>
  <c r="AE123" i="14"/>
  <c r="AF123" i="14"/>
  <c r="W123" i="14"/>
  <c r="W125" i="14" s="1"/>
  <c r="W126" i="14" s="1"/>
  <c r="X123" i="14"/>
  <c r="O123" i="14"/>
  <c r="P123" i="14" s="1"/>
  <c r="G123" i="14"/>
  <c r="G125" i="14" s="1"/>
  <c r="G126" i="14" s="1"/>
  <c r="F123" i="14"/>
  <c r="F125" i="14" s="1"/>
  <c r="E123" i="14"/>
  <c r="E125" i="14" s="1"/>
  <c r="E126" i="14" s="1"/>
  <c r="H123" i="14"/>
  <c r="BS122" i="14"/>
  <c r="BR122" i="14"/>
  <c r="BQ122" i="14"/>
  <c r="BP122" i="14"/>
  <c r="BN122" i="14"/>
  <c r="BL122" i="14"/>
  <c r="BD122" i="14"/>
  <c r="BS121" i="14"/>
  <c r="BR121" i="14"/>
  <c r="BQ121" i="14"/>
  <c r="BP121" i="14"/>
  <c r="BO121" i="14"/>
  <c r="BL121" i="14"/>
  <c r="AX121" i="14"/>
  <c r="BS120" i="14"/>
  <c r="BR120" i="14"/>
  <c r="BQ120" i="14"/>
  <c r="BP120" i="14"/>
  <c r="BO120" i="14"/>
  <c r="BN120" i="14"/>
  <c r="BL120" i="14"/>
  <c r="BD120" i="14"/>
  <c r="AV120" i="14"/>
  <c r="AN120" i="14"/>
  <c r="AF120" i="14"/>
  <c r="X120" i="14"/>
  <c r="P120" i="14"/>
  <c r="H120" i="14"/>
  <c r="BS119" i="14"/>
  <c r="BR119" i="14"/>
  <c r="BQ119" i="14"/>
  <c r="BP119" i="14"/>
  <c r="BO119" i="14"/>
  <c r="BL119" i="14"/>
  <c r="AS119" i="6" s="1"/>
  <c r="BF125" i="14"/>
  <c r="BD119" i="14"/>
  <c r="AV119" i="14"/>
  <c r="AN119" i="14"/>
  <c r="AF119" i="14"/>
  <c r="X119" i="14"/>
  <c r="P119" i="14"/>
  <c r="H119" i="14"/>
  <c r="H118" i="14"/>
  <c r="H134" i="14" s="1"/>
  <c r="BS115" i="14"/>
  <c r="BT115" i="14" s="1"/>
  <c r="BR115" i="14"/>
  <c r="BQ115" i="14"/>
  <c r="BP115" i="14"/>
  <c r="BO115" i="14"/>
  <c r="BN115" i="14"/>
  <c r="BL115" i="14"/>
  <c r="BD115" i="14"/>
  <c r="AV115" i="14"/>
  <c r="AN115" i="14"/>
  <c r="AF115" i="14"/>
  <c r="X115" i="14"/>
  <c r="P115" i="14"/>
  <c r="H115" i="14"/>
  <c r="BS114" i="14"/>
  <c r="BR114" i="14"/>
  <c r="BQ114" i="14"/>
  <c r="BP114" i="14"/>
  <c r="BO114" i="14"/>
  <c r="BN114" i="14"/>
  <c r="BL114" i="14"/>
  <c r="BD114" i="14"/>
  <c r="AV114" i="14"/>
  <c r="AN114" i="14"/>
  <c r="AF114" i="14"/>
  <c r="X114" i="14"/>
  <c r="P114" i="14"/>
  <c r="H114" i="14"/>
  <c r="BK113" i="14"/>
  <c r="BJ113" i="14"/>
  <c r="BI113" i="14"/>
  <c r="BH113" i="14"/>
  <c r="BG113" i="14"/>
  <c r="BF113" i="14"/>
  <c r="BC113" i="14"/>
  <c r="BB113" i="14"/>
  <c r="BA113" i="14"/>
  <c r="AZ113" i="14"/>
  <c r="AY113" i="14"/>
  <c r="AX113" i="14"/>
  <c r="AU113" i="14"/>
  <c r="AT113" i="14"/>
  <c r="AS113" i="14"/>
  <c r="AR113" i="14"/>
  <c r="AQ113" i="14"/>
  <c r="AP113" i="14"/>
  <c r="AM113" i="14"/>
  <c r="AL113" i="14"/>
  <c r="AK113" i="14"/>
  <c r="AJ113" i="14"/>
  <c r="AI113" i="14"/>
  <c r="AE113" i="14"/>
  <c r="AD113" i="14"/>
  <c r="AC113" i="14"/>
  <c r="AB113" i="14"/>
  <c r="AA113" i="14"/>
  <c r="Z113" i="14"/>
  <c r="W113" i="14"/>
  <c r="V113" i="14"/>
  <c r="U113" i="14"/>
  <c r="T113" i="14"/>
  <c r="S113" i="14"/>
  <c r="R113" i="14"/>
  <c r="O113" i="14"/>
  <c r="N113" i="14"/>
  <c r="M113" i="14"/>
  <c r="L113" i="14"/>
  <c r="K113" i="14"/>
  <c r="J113" i="14"/>
  <c r="P113" i="14" s="1"/>
  <c r="G113" i="14"/>
  <c r="F113" i="14"/>
  <c r="E113" i="14"/>
  <c r="D113" i="14"/>
  <c r="C113" i="14"/>
  <c r="BO113" i="14" s="1"/>
  <c r="B113" i="14"/>
  <c r="BK112" i="14"/>
  <c r="BJ112" i="14"/>
  <c r="BI112" i="14"/>
  <c r="BH112" i="14"/>
  <c r="BG112" i="14"/>
  <c r="BF112" i="14"/>
  <c r="BC112" i="14"/>
  <c r="BB112" i="14"/>
  <c r="BA112" i="14"/>
  <c r="AZ112" i="14"/>
  <c r="AY112" i="14"/>
  <c r="AX112" i="14"/>
  <c r="AU112" i="14"/>
  <c r="AT112" i="14"/>
  <c r="AS112" i="14"/>
  <c r="AR112" i="14"/>
  <c r="AQ112" i="14"/>
  <c r="AM112" i="14"/>
  <c r="AL112" i="14"/>
  <c r="AK112" i="14"/>
  <c r="AJ112" i="14"/>
  <c r="AI112" i="14"/>
  <c r="AE112" i="14"/>
  <c r="AD112" i="14"/>
  <c r="AC112" i="14"/>
  <c r="AB112" i="14"/>
  <c r="AA112" i="14"/>
  <c r="W112" i="14"/>
  <c r="V112" i="14"/>
  <c r="U112" i="14"/>
  <c r="T112" i="14"/>
  <c r="S112" i="14"/>
  <c r="O112" i="14"/>
  <c r="N112" i="14"/>
  <c r="M112" i="14"/>
  <c r="L112" i="14"/>
  <c r="K112" i="14"/>
  <c r="BO112" i="14" s="1"/>
  <c r="G112" i="14"/>
  <c r="F112" i="14"/>
  <c r="E112" i="14"/>
  <c r="D112" i="14"/>
  <c r="C112" i="14"/>
  <c r="B112" i="14"/>
  <c r="AX110" i="14"/>
  <c r="AE110" i="14"/>
  <c r="AD110" i="14"/>
  <c r="BK109" i="14"/>
  <c r="BJ109" i="14"/>
  <c r="BJ111" i="14" s="1"/>
  <c r="BI109" i="14"/>
  <c r="BH109" i="14"/>
  <c r="BH111" i="14" s="1"/>
  <c r="BG109" i="14"/>
  <c r="BC109" i="14"/>
  <c r="BC110" i="14" s="1"/>
  <c r="BB109" i="14"/>
  <c r="BB110" i="14" s="1"/>
  <c r="BA109" i="14"/>
  <c r="BA110" i="14" s="1"/>
  <c r="AZ109" i="14"/>
  <c r="AZ110" i="14" s="1"/>
  <c r="AY109" i="14"/>
  <c r="AY110" i="14" s="1"/>
  <c r="AX109" i="14"/>
  <c r="AU109" i="14"/>
  <c r="AT109" i="14"/>
  <c r="AS109" i="14"/>
  <c r="AQ109" i="14"/>
  <c r="AM109" i="14"/>
  <c r="AL109" i="14"/>
  <c r="AK109" i="14"/>
  <c r="AI109" i="14"/>
  <c r="AE109" i="14"/>
  <c r="AD109" i="14"/>
  <c r="AC109" i="14"/>
  <c r="AC110" i="14" s="1"/>
  <c r="AC116" i="14" s="1"/>
  <c r="AA109" i="14"/>
  <c r="W109" i="14"/>
  <c r="W110" i="14" s="1"/>
  <c r="V109" i="14"/>
  <c r="V110" i="14" s="1"/>
  <c r="U109" i="14"/>
  <c r="S109" i="14"/>
  <c r="S110" i="14" s="1"/>
  <c r="O109" i="14"/>
  <c r="O110" i="14" s="1"/>
  <c r="N109" i="14"/>
  <c r="N110" i="14" s="1"/>
  <c r="M109" i="14"/>
  <c r="M110" i="14" s="1"/>
  <c r="G109" i="14"/>
  <c r="F109" i="14"/>
  <c r="E109" i="14"/>
  <c r="C109" i="14"/>
  <c r="C110" i="14" s="1"/>
  <c r="BS108" i="14"/>
  <c r="BR108" i="14"/>
  <c r="BQ108" i="14"/>
  <c r="BP108" i="14"/>
  <c r="BO108" i="14"/>
  <c r="BL108" i="14"/>
  <c r="BD108" i="14"/>
  <c r="AV108" i="14"/>
  <c r="AN108" i="14"/>
  <c r="AF108" i="14"/>
  <c r="X108" i="14"/>
  <c r="H108" i="14"/>
  <c r="BS107" i="14"/>
  <c r="BR107" i="14"/>
  <c r="BQ107" i="14"/>
  <c r="BP107" i="14"/>
  <c r="BO107" i="14"/>
  <c r="BN107" i="14"/>
  <c r="BT107" i="14" s="1"/>
  <c r="BL107" i="14"/>
  <c r="BD107" i="14"/>
  <c r="AV107" i="14"/>
  <c r="AN107" i="14"/>
  <c r="AF107" i="14"/>
  <c r="X107" i="14"/>
  <c r="H107" i="14"/>
  <c r="BS106" i="14"/>
  <c r="BR106" i="14"/>
  <c r="BQ106" i="14"/>
  <c r="BP106" i="14"/>
  <c r="BN106" i="14"/>
  <c r="BL106" i="14"/>
  <c r="BD106" i="14"/>
  <c r="AV106" i="14"/>
  <c r="AN106" i="14"/>
  <c r="AF106" i="14"/>
  <c r="X106" i="14"/>
  <c r="H106" i="14"/>
  <c r="BS105" i="14"/>
  <c r="BR105" i="14"/>
  <c r="BQ105" i="14"/>
  <c r="BP105" i="14"/>
  <c r="BO105" i="14"/>
  <c r="BN105" i="14"/>
  <c r="BL105" i="14"/>
  <c r="BD105" i="14"/>
  <c r="AV105" i="14"/>
  <c r="AN105" i="14"/>
  <c r="AF105" i="14"/>
  <c r="X105" i="14"/>
  <c r="H105" i="14"/>
  <c r="BS104" i="14"/>
  <c r="BR104" i="14"/>
  <c r="BQ104" i="14"/>
  <c r="BP104" i="14"/>
  <c r="BN104" i="14"/>
  <c r="BL104" i="14"/>
  <c r="BD104" i="14"/>
  <c r="AV104" i="14"/>
  <c r="AN104" i="14"/>
  <c r="AF104" i="14"/>
  <c r="X104" i="14"/>
  <c r="H104" i="14"/>
  <c r="BS103" i="14"/>
  <c r="BR103" i="14"/>
  <c r="BQ103" i="14"/>
  <c r="BP103" i="14"/>
  <c r="BO103" i="14"/>
  <c r="BN103" i="14"/>
  <c r="BL103" i="14"/>
  <c r="BD103" i="14"/>
  <c r="AV103" i="14"/>
  <c r="AN103" i="14"/>
  <c r="AF103" i="14"/>
  <c r="X103" i="14"/>
  <c r="P103" i="14"/>
  <c r="H103" i="14"/>
  <c r="BS102" i="14"/>
  <c r="BR102" i="14"/>
  <c r="BQ102" i="14"/>
  <c r="BO102" i="14"/>
  <c r="BN102" i="14"/>
  <c r="BL102" i="14"/>
  <c r="BD102" i="14"/>
  <c r="AJ109" i="14"/>
  <c r="AF102" i="14"/>
  <c r="AB102" i="14"/>
  <c r="AB109" i="14" s="1"/>
  <c r="D109" i="14"/>
  <c r="D110" i="14" s="1"/>
  <c r="BS101" i="14"/>
  <c r="BR101" i="14"/>
  <c r="BQ101" i="14"/>
  <c r="BP101" i="14"/>
  <c r="BO101" i="14"/>
  <c r="BL101" i="14"/>
  <c r="BD101" i="14"/>
  <c r="AV101" i="14"/>
  <c r="AN101" i="14"/>
  <c r="AF101" i="14"/>
  <c r="R109" i="14"/>
  <c r="R110" i="14" s="1"/>
  <c r="BS100" i="14"/>
  <c r="BR100" i="14"/>
  <c r="BQ100" i="14"/>
  <c r="BP100" i="14"/>
  <c r="BO100" i="14"/>
  <c r="BN100" i="14"/>
  <c r="BT100" i="14" s="1"/>
  <c r="BL100" i="14"/>
  <c r="BD100" i="14"/>
  <c r="AV100" i="14"/>
  <c r="AN100" i="14"/>
  <c r="AF100" i="14"/>
  <c r="X100" i="14"/>
  <c r="P100" i="14"/>
  <c r="H100" i="14"/>
  <c r="BS99" i="14"/>
  <c r="BR99" i="14"/>
  <c r="BQ99" i="14"/>
  <c r="BP99" i="14"/>
  <c r="BO99" i="14"/>
  <c r="BL99" i="14"/>
  <c r="BD99" i="14"/>
  <c r="AV99" i="14"/>
  <c r="AN99" i="14"/>
  <c r="AF99" i="14"/>
  <c r="X99" i="14"/>
  <c r="P99" i="14"/>
  <c r="BS98" i="14"/>
  <c r="BR98" i="14"/>
  <c r="BQ98" i="14"/>
  <c r="BP98" i="14"/>
  <c r="BO98" i="14"/>
  <c r="BL98" i="14"/>
  <c r="BD98" i="14"/>
  <c r="AN98" i="14"/>
  <c r="X98" i="14"/>
  <c r="P98" i="14"/>
  <c r="BS97" i="14"/>
  <c r="BR97" i="14"/>
  <c r="BQ97" i="14"/>
  <c r="BP97" i="14"/>
  <c r="BO97" i="14"/>
  <c r="BN97" i="14"/>
  <c r="BL97" i="14"/>
  <c r="BD97" i="14"/>
  <c r="AV97" i="14"/>
  <c r="AN97" i="14"/>
  <c r="AF97" i="14"/>
  <c r="X97" i="14"/>
  <c r="P97" i="14"/>
  <c r="H97" i="14"/>
  <c r="BS96" i="14"/>
  <c r="BR96" i="14"/>
  <c r="BQ96" i="14"/>
  <c r="BP96" i="14"/>
  <c r="BO96" i="14"/>
  <c r="BL96" i="14"/>
  <c r="BD96" i="14"/>
  <c r="AV96" i="14"/>
  <c r="AN96" i="14"/>
  <c r="AF96" i="14"/>
  <c r="X96" i="14"/>
  <c r="P96" i="14"/>
  <c r="H96" i="14"/>
  <c r="BS95" i="14"/>
  <c r="BR95" i="14"/>
  <c r="BQ95" i="14"/>
  <c r="BP95" i="14"/>
  <c r="BO95" i="14"/>
  <c r="BL95" i="14"/>
  <c r="BD95" i="14"/>
  <c r="AV95" i="14"/>
  <c r="AN95" i="14"/>
  <c r="AF95" i="14"/>
  <c r="X95" i="14"/>
  <c r="P95" i="14"/>
  <c r="H95" i="14"/>
  <c r="BS94" i="14"/>
  <c r="BR94" i="14"/>
  <c r="BQ94" i="14"/>
  <c r="BP94" i="14"/>
  <c r="BO94" i="14"/>
  <c r="BL94" i="14"/>
  <c r="BD94" i="14"/>
  <c r="AV94" i="14"/>
  <c r="AF94" i="14"/>
  <c r="X94" i="14"/>
  <c r="BS93" i="14"/>
  <c r="BR93" i="14"/>
  <c r="BQ93" i="14"/>
  <c r="BP93" i="14"/>
  <c r="BO93" i="14"/>
  <c r="BL93" i="14"/>
  <c r="BD93" i="14"/>
  <c r="AV93" i="14"/>
  <c r="AN93" i="14"/>
  <c r="AF93" i="14"/>
  <c r="X93" i="14"/>
  <c r="H93" i="14"/>
  <c r="BI91" i="14"/>
  <c r="BI118" i="14" s="1"/>
  <c r="BI134" i="14" s="1"/>
  <c r="BI151" i="14" s="1"/>
  <c r="BI161" i="14" s="1"/>
  <c r="BI173" i="14" s="1"/>
  <c r="BI196" i="14" s="1"/>
  <c r="AC91" i="14"/>
  <c r="AC118" i="14" s="1"/>
  <c r="AC134" i="14" s="1"/>
  <c r="BO88" i="14"/>
  <c r="BK88" i="14"/>
  <c r="BJ88" i="14"/>
  <c r="BI88" i="14"/>
  <c r="BH88" i="14"/>
  <c r="BG88" i="14"/>
  <c r="BF88" i="14"/>
  <c r="BC88" i="14"/>
  <c r="BB88" i="14"/>
  <c r="BA88" i="14"/>
  <c r="AZ88" i="14"/>
  <c r="AY88" i="14"/>
  <c r="AX88" i="14"/>
  <c r="AU88" i="14"/>
  <c r="AT88" i="14"/>
  <c r="AS88" i="14"/>
  <c r="AR88" i="14"/>
  <c r="AQ88" i="14"/>
  <c r="AP88" i="14"/>
  <c r="AM88" i="14"/>
  <c r="AL88" i="14"/>
  <c r="AJ88" i="14"/>
  <c r="AI88" i="14"/>
  <c r="AH88" i="14"/>
  <c r="AE88" i="14"/>
  <c r="AD88" i="14"/>
  <c r="AB88" i="14"/>
  <c r="AA88" i="14"/>
  <c r="Z88" i="14"/>
  <c r="W88" i="14"/>
  <c r="V88" i="14"/>
  <c r="U88" i="14"/>
  <c r="T88" i="14"/>
  <c r="S88" i="14"/>
  <c r="R88" i="14"/>
  <c r="O88" i="14"/>
  <c r="N88" i="14"/>
  <c r="M88" i="14"/>
  <c r="L88" i="14"/>
  <c r="K88" i="14"/>
  <c r="J88" i="14"/>
  <c r="G88" i="14"/>
  <c r="F88" i="14"/>
  <c r="E88" i="14"/>
  <c r="D88" i="14"/>
  <c r="C88" i="14"/>
  <c r="B88" i="14"/>
  <c r="BS87" i="14"/>
  <c r="BR87" i="14"/>
  <c r="BQ87" i="14"/>
  <c r="BP87" i="14"/>
  <c r="BO87" i="14"/>
  <c r="BN87" i="14"/>
  <c r="BL87" i="14"/>
  <c r="BD87" i="14"/>
  <c r="AV87" i="14"/>
  <c r="AN87" i="14"/>
  <c r="AF87" i="14"/>
  <c r="X87" i="14"/>
  <c r="P87" i="14"/>
  <c r="H87" i="14"/>
  <c r="BS86" i="14"/>
  <c r="BR86" i="14"/>
  <c r="BQ86" i="14"/>
  <c r="BP86" i="14"/>
  <c r="BO86" i="14"/>
  <c r="BN86" i="14"/>
  <c r="BL86" i="14"/>
  <c r="BD86" i="14"/>
  <c r="AV86" i="14"/>
  <c r="AN86" i="14"/>
  <c r="AF86" i="14"/>
  <c r="X86" i="14"/>
  <c r="X88" i="14" s="1"/>
  <c r="P86" i="14"/>
  <c r="H86" i="14"/>
  <c r="BS85" i="14"/>
  <c r="BR85" i="14"/>
  <c r="BP85" i="14"/>
  <c r="BO85" i="14"/>
  <c r="BN85" i="14"/>
  <c r="BL85" i="14"/>
  <c r="BL88" i="14" s="1"/>
  <c r="BD85" i="14"/>
  <c r="AV85" i="14"/>
  <c r="AV88" i="14" s="1"/>
  <c r="X85" i="14"/>
  <c r="P85" i="14"/>
  <c r="H85" i="14"/>
  <c r="BA84" i="14"/>
  <c r="BA91" i="14" s="1"/>
  <c r="BA118" i="14" s="1"/>
  <c r="BA134" i="14" s="1"/>
  <c r="AS84" i="14"/>
  <c r="AS91" i="14" s="1"/>
  <c r="AS118" i="14" s="1"/>
  <c r="AS134" i="14" s="1"/>
  <c r="E84" i="14"/>
  <c r="E91" i="14" s="1"/>
  <c r="E118" i="14" s="1"/>
  <c r="E134" i="14" s="1"/>
  <c r="E143" i="14" s="1"/>
  <c r="BK82" i="14"/>
  <c r="BI82" i="14"/>
  <c r="BH82" i="14"/>
  <c r="BG82" i="14"/>
  <c r="BC82" i="14"/>
  <c r="BB82" i="14"/>
  <c r="BA82" i="14"/>
  <c r="AZ82" i="14"/>
  <c r="AU82" i="14"/>
  <c r="AS82" i="14"/>
  <c r="AM82" i="14"/>
  <c r="AL82" i="14"/>
  <c r="AK82" i="14"/>
  <c r="AI82" i="14"/>
  <c r="AE82" i="14"/>
  <c r="AD82" i="14"/>
  <c r="AC82" i="14"/>
  <c r="W82" i="14"/>
  <c r="V82" i="14"/>
  <c r="U82" i="14"/>
  <c r="T82" i="14"/>
  <c r="S82" i="14"/>
  <c r="O82" i="14"/>
  <c r="N82" i="14"/>
  <c r="M82" i="14"/>
  <c r="K82" i="14"/>
  <c r="G82" i="14"/>
  <c r="F82" i="14"/>
  <c r="E82" i="14"/>
  <c r="BS81" i="14"/>
  <c r="BR81" i="14"/>
  <c r="BQ81" i="14"/>
  <c r="BO81" i="14"/>
  <c r="BN81" i="14"/>
  <c r="BL81" i="14"/>
  <c r="BD81" i="14"/>
  <c r="AV81" i="14"/>
  <c r="AB82" i="14"/>
  <c r="X81" i="14"/>
  <c r="P81" i="14"/>
  <c r="BS80" i="14"/>
  <c r="BR80" i="14"/>
  <c r="BQ80" i="14"/>
  <c r="BO80" i="14"/>
  <c r="BN80" i="14"/>
  <c r="BL80" i="14"/>
  <c r="BD80" i="14"/>
  <c r="AV80" i="14"/>
  <c r="AN80" i="14"/>
  <c r="AF80" i="14"/>
  <c r="X80" i="14"/>
  <c r="D82" i="14"/>
  <c r="BS79" i="14"/>
  <c r="BR79" i="14"/>
  <c r="BQ79" i="14"/>
  <c r="BP79" i="14"/>
  <c r="BO79" i="14"/>
  <c r="BN79" i="14"/>
  <c r="BL79" i="14"/>
  <c r="BD79" i="14"/>
  <c r="AV79" i="14"/>
  <c r="AN79" i="14"/>
  <c r="AF79" i="14"/>
  <c r="X79" i="14"/>
  <c r="P79" i="14"/>
  <c r="H79" i="14"/>
  <c r="BS78" i="14"/>
  <c r="BR78" i="14"/>
  <c r="BQ78" i="14"/>
  <c r="BP78" i="14"/>
  <c r="BO78" i="14"/>
  <c r="BL78" i="14"/>
  <c r="BD78" i="14"/>
  <c r="AV78" i="14"/>
  <c r="AN78" i="14"/>
  <c r="AF78" i="14"/>
  <c r="X78" i="14"/>
  <c r="H78" i="14"/>
  <c r="BS77" i="14"/>
  <c r="BQ77" i="14"/>
  <c r="BP77" i="14"/>
  <c r="BO77" i="14"/>
  <c r="BN77" i="14"/>
  <c r="BJ82" i="14"/>
  <c r="BD77" i="14"/>
  <c r="AT82" i="14"/>
  <c r="AN77" i="14"/>
  <c r="AF77" i="14"/>
  <c r="X77" i="14"/>
  <c r="P77" i="14"/>
  <c r="F77" i="14"/>
  <c r="BS76" i="14"/>
  <c r="BR76" i="14"/>
  <c r="BQ76" i="14"/>
  <c r="BP76" i="14"/>
  <c r="BO76" i="14"/>
  <c r="BF76" i="14"/>
  <c r="BD76" i="14"/>
  <c r="AV76" i="14"/>
  <c r="AN76" i="14"/>
  <c r="AF76" i="14"/>
  <c r="X76" i="14"/>
  <c r="P76" i="14"/>
  <c r="H76" i="14"/>
  <c r="BS75" i="14"/>
  <c r="BR75" i="14"/>
  <c r="BQ75" i="14"/>
  <c r="BP75" i="14"/>
  <c r="BO75" i="14"/>
  <c r="BN75" i="14"/>
  <c r="BL75" i="14"/>
  <c r="BD75" i="14"/>
  <c r="AV75" i="14"/>
  <c r="AN75" i="14"/>
  <c r="AF75" i="14"/>
  <c r="X75" i="14"/>
  <c r="P75" i="14"/>
  <c r="H75" i="14"/>
  <c r="BS74" i="14"/>
  <c r="BR74" i="14"/>
  <c r="BQ74" i="14"/>
  <c r="BP74" i="14"/>
  <c r="BN74" i="14"/>
  <c r="BL74" i="14"/>
  <c r="AY82" i="14"/>
  <c r="AV74" i="14"/>
  <c r="AN74" i="14"/>
  <c r="X74" i="14"/>
  <c r="P74" i="14"/>
  <c r="C82" i="14"/>
  <c r="BS73" i="14"/>
  <c r="BR73" i="14"/>
  <c r="BQ73" i="14"/>
  <c r="BP73" i="14"/>
  <c r="BO73" i="14"/>
  <c r="BN73" i="14"/>
  <c r="BL73" i="14"/>
  <c r="BD73" i="14"/>
  <c r="AV73" i="14"/>
  <c r="AG73" i="6" s="1"/>
  <c r="AN73" i="14"/>
  <c r="AF73" i="14"/>
  <c r="X73" i="14"/>
  <c r="P73" i="14"/>
  <c r="H73" i="14"/>
  <c r="BS72" i="14"/>
  <c r="BR72" i="14"/>
  <c r="BQ72" i="14"/>
  <c r="BP72" i="14"/>
  <c r="BO72" i="14"/>
  <c r="BN72" i="14"/>
  <c r="BD72" i="14"/>
  <c r="AV72" i="14"/>
  <c r="AN72" i="14"/>
  <c r="AF72" i="14"/>
  <c r="X72" i="14"/>
  <c r="P72" i="14"/>
  <c r="H72" i="14"/>
  <c r="BS71" i="14"/>
  <c r="BR71" i="14"/>
  <c r="BQ71" i="14"/>
  <c r="BP71" i="14"/>
  <c r="BO71" i="14"/>
  <c r="BL71" i="14"/>
  <c r="AX71" i="14"/>
  <c r="BD71" i="14" s="1"/>
  <c r="AV71" i="14"/>
  <c r="AF71" i="14"/>
  <c r="X71" i="14"/>
  <c r="H71" i="14"/>
  <c r="BS70" i="14"/>
  <c r="BR70" i="14"/>
  <c r="BQ70" i="14"/>
  <c r="BP70" i="14"/>
  <c r="BO70" i="14"/>
  <c r="BL70" i="14"/>
  <c r="AX70" i="14"/>
  <c r="BD70" i="14" s="1"/>
  <c r="AV70" i="14"/>
  <c r="AN70" i="14"/>
  <c r="AF70" i="14"/>
  <c r="X70" i="14"/>
  <c r="P70" i="14"/>
  <c r="H70" i="14"/>
  <c r="BS69" i="14"/>
  <c r="BR69" i="14"/>
  <c r="BQ69" i="14"/>
  <c r="BP69" i="14"/>
  <c r="BO69" i="14"/>
  <c r="BL69" i="14"/>
  <c r="AX69" i="14"/>
  <c r="BD69" i="14" s="1"/>
  <c r="AV69" i="14"/>
  <c r="AN69" i="14"/>
  <c r="AF69" i="14"/>
  <c r="X69" i="14"/>
  <c r="BS68" i="14"/>
  <c r="BR68" i="14"/>
  <c r="BQ68" i="14"/>
  <c r="BP68" i="14"/>
  <c r="BO68" i="14"/>
  <c r="BL68" i="14"/>
  <c r="BQ67" i="14"/>
  <c r="BQ84" i="14" s="1"/>
  <c r="BQ91" i="14" s="1"/>
  <c r="BQ118" i="14" s="1"/>
  <c r="BQ134" i="14" s="1"/>
  <c r="BI67" i="14"/>
  <c r="BI84" i="14" s="1"/>
  <c r="BA67" i="14"/>
  <c r="AS67" i="14"/>
  <c r="AK67" i="14"/>
  <c r="AK84" i="14" s="1"/>
  <c r="AK91" i="14" s="1"/>
  <c r="AK118" i="14" s="1"/>
  <c r="AK134" i="14" s="1"/>
  <c r="AK143" i="14" s="1"/>
  <c r="AC67" i="14"/>
  <c r="AC84" i="14" s="1"/>
  <c r="X67" i="14"/>
  <c r="X84" i="14" s="1"/>
  <c r="X91" i="14" s="1"/>
  <c r="X118" i="14" s="1"/>
  <c r="X134" i="14" s="1"/>
  <c r="U67" i="14"/>
  <c r="U84" i="14" s="1"/>
  <c r="U91" i="14" s="1"/>
  <c r="U118" i="14" s="1"/>
  <c r="U134" i="14" s="1"/>
  <c r="U151" i="14" s="1"/>
  <c r="U161" i="14" s="1"/>
  <c r="U173" i="14" s="1"/>
  <c r="U196" i="14" s="1"/>
  <c r="P67" i="14"/>
  <c r="P84" i="14" s="1"/>
  <c r="P91" i="14" s="1"/>
  <c r="P118" i="14" s="1"/>
  <c r="P134" i="14" s="1"/>
  <c r="M67" i="14"/>
  <c r="M84" i="14" s="1"/>
  <c r="M91" i="14" s="1"/>
  <c r="M118" i="14" s="1"/>
  <c r="M134" i="14" s="1"/>
  <c r="E67" i="14"/>
  <c r="AX64" i="14"/>
  <c r="AX111" i="14" s="1"/>
  <c r="AU64" i="14"/>
  <c r="AT64" i="14"/>
  <c r="AT111" i="14" s="1"/>
  <c r="AS64" i="14"/>
  <c r="T64" i="14"/>
  <c r="S64" i="14"/>
  <c r="R64" i="14"/>
  <c r="O64" i="14"/>
  <c r="C64" i="14"/>
  <c r="AZ63" i="14"/>
  <c r="AY63" i="14"/>
  <c r="AX63" i="14"/>
  <c r="AU63" i="14"/>
  <c r="AT63" i="14"/>
  <c r="AT127" i="14" s="1"/>
  <c r="AS63" i="14"/>
  <c r="AR63" i="14"/>
  <c r="V63" i="14"/>
  <c r="U63" i="14"/>
  <c r="T63" i="14"/>
  <c r="S63" i="14"/>
  <c r="R63" i="14"/>
  <c r="BK61" i="14"/>
  <c r="BK64" i="14" s="1"/>
  <c r="BJ61" i="14"/>
  <c r="BJ64" i="14" s="1"/>
  <c r="BI61" i="14"/>
  <c r="BI64" i="14" s="1"/>
  <c r="BH61" i="14"/>
  <c r="BH64" i="14" s="1"/>
  <c r="BG61" i="14"/>
  <c r="BG64" i="14" s="1"/>
  <c r="BF61" i="14"/>
  <c r="BF64" i="14" s="1"/>
  <c r="BC61" i="14"/>
  <c r="BC64" i="14" s="1"/>
  <c r="BC111" i="14" s="1"/>
  <c r="BC116" i="14" s="1"/>
  <c r="BB61" i="14"/>
  <c r="BB64" i="14" s="1"/>
  <c r="BA61" i="14"/>
  <c r="BA64" i="14" s="1"/>
  <c r="AZ61" i="14"/>
  <c r="AZ64" i="14" s="1"/>
  <c r="AY61" i="14"/>
  <c r="AY64" i="14" s="1"/>
  <c r="AY111" i="14" s="1"/>
  <c r="AX61" i="14"/>
  <c r="AU61" i="14"/>
  <c r="AT61" i="14"/>
  <c r="AS61" i="14"/>
  <c r="AR61" i="14"/>
  <c r="AR64" i="14" s="1"/>
  <c r="AQ61" i="14"/>
  <c r="AQ64" i="14" s="1"/>
  <c r="AP61" i="14"/>
  <c r="AP64" i="14" s="1"/>
  <c r="AM61" i="14"/>
  <c r="AM64" i="14" s="1"/>
  <c r="AM111" i="14" s="1"/>
  <c r="AL61" i="14"/>
  <c r="AL64" i="14" s="1"/>
  <c r="AK61" i="14"/>
  <c r="AK64" i="14" s="1"/>
  <c r="AJ61" i="14"/>
  <c r="AJ64" i="14" s="1"/>
  <c r="AI61" i="14"/>
  <c r="AI64" i="14" s="1"/>
  <c r="AE61" i="14"/>
  <c r="AE64" i="14" s="1"/>
  <c r="AD61" i="14"/>
  <c r="AD64" i="14" s="1"/>
  <c r="AC61" i="14"/>
  <c r="AC64" i="14" s="1"/>
  <c r="AC111" i="14" s="1"/>
  <c r="AB61" i="14"/>
  <c r="AB64" i="14" s="1"/>
  <c r="AA61" i="14"/>
  <c r="AA64" i="14" s="1"/>
  <c r="Z61" i="14"/>
  <c r="Z64" i="14" s="1"/>
  <c r="W61" i="14"/>
  <c r="W64" i="14" s="1"/>
  <c r="V61" i="14"/>
  <c r="V64" i="14" s="1"/>
  <c r="V111" i="14" s="1"/>
  <c r="U61" i="14"/>
  <c r="U64" i="14" s="1"/>
  <c r="T61" i="14"/>
  <c r="S61" i="14"/>
  <c r="R61" i="14"/>
  <c r="O61" i="14"/>
  <c r="N61" i="14"/>
  <c r="N64" i="14" s="1"/>
  <c r="M61" i="14"/>
  <c r="M64" i="14" s="1"/>
  <c r="L61" i="14"/>
  <c r="L64" i="14" s="1"/>
  <c r="K61" i="14"/>
  <c r="K64" i="14" s="1"/>
  <c r="J61" i="14"/>
  <c r="J64" i="14" s="1"/>
  <c r="G61" i="14"/>
  <c r="G64" i="14" s="1"/>
  <c r="F61" i="14"/>
  <c r="F64" i="14" s="1"/>
  <c r="E61" i="14"/>
  <c r="E64" i="14" s="1"/>
  <c r="D61" i="14"/>
  <c r="D64" i="14" s="1"/>
  <c r="C61" i="14"/>
  <c r="B61" i="14"/>
  <c r="B64" i="14" s="1"/>
  <c r="BS60" i="14"/>
  <c r="BR60" i="14"/>
  <c r="BQ60" i="14"/>
  <c r="BP60" i="14"/>
  <c r="BO60" i="14"/>
  <c r="BN60" i="14"/>
  <c r="BL60" i="14"/>
  <c r="BD60" i="14"/>
  <c r="AV60" i="14"/>
  <c r="AN60" i="14"/>
  <c r="AF60" i="14"/>
  <c r="X60" i="14"/>
  <c r="P60" i="14"/>
  <c r="H60" i="14"/>
  <c r="BS59" i="14"/>
  <c r="BR59" i="14"/>
  <c r="BQ59" i="14"/>
  <c r="BP59" i="14"/>
  <c r="BO59" i="14"/>
  <c r="BT59" i="14" s="1"/>
  <c r="BN59" i="14"/>
  <c r="BL59" i="14"/>
  <c r="BD59" i="14"/>
  <c r="AV59" i="14"/>
  <c r="AN59" i="14"/>
  <c r="AF59" i="14"/>
  <c r="X59" i="14"/>
  <c r="P59" i="14"/>
  <c r="H59" i="14"/>
  <c r="BS58" i="14"/>
  <c r="BR58" i="14"/>
  <c r="BQ58" i="14"/>
  <c r="BP58" i="14"/>
  <c r="BO58" i="14"/>
  <c r="BN58" i="14"/>
  <c r="BL58" i="14"/>
  <c r="BD58" i="14"/>
  <c r="AV58" i="14"/>
  <c r="AN58" i="14"/>
  <c r="AF58" i="14"/>
  <c r="X58" i="14"/>
  <c r="P58" i="14"/>
  <c r="H58" i="14"/>
  <c r="BT57" i="14"/>
  <c r="BS57" i="14"/>
  <c r="BR57" i="14"/>
  <c r="BQ57" i="14"/>
  <c r="BP57" i="14"/>
  <c r="BO57" i="14"/>
  <c r="BN57" i="14"/>
  <c r="BL57" i="14"/>
  <c r="BD57" i="14"/>
  <c r="AV57" i="14"/>
  <c r="AN57" i="14"/>
  <c r="AF57" i="14"/>
  <c r="X57" i="14"/>
  <c r="P57" i="14"/>
  <c r="H57" i="14"/>
  <c r="BS56" i="14"/>
  <c r="BR56" i="14"/>
  <c r="BQ56" i="14"/>
  <c r="BP56" i="14"/>
  <c r="BO56" i="14"/>
  <c r="BN56" i="14"/>
  <c r="BL56" i="14"/>
  <c r="BD56" i="14"/>
  <c r="AV56" i="14"/>
  <c r="AN56" i="14"/>
  <c r="AF56" i="14"/>
  <c r="X56" i="14"/>
  <c r="P56" i="14"/>
  <c r="H56" i="14"/>
  <c r="BS55" i="14"/>
  <c r="BR55" i="14"/>
  <c r="BQ55" i="14"/>
  <c r="BP55" i="14"/>
  <c r="BO55" i="14"/>
  <c r="BN55" i="14"/>
  <c r="BL55" i="14"/>
  <c r="BD55" i="14"/>
  <c r="AV55" i="14"/>
  <c r="AN55" i="14"/>
  <c r="AF55" i="14"/>
  <c r="X55" i="14"/>
  <c r="P55" i="14"/>
  <c r="H55" i="14"/>
  <c r="BS54" i="14"/>
  <c r="BR54" i="14"/>
  <c r="BQ54" i="14"/>
  <c r="BP54" i="14"/>
  <c r="BO54" i="14"/>
  <c r="BN54" i="14"/>
  <c r="BT54" i="14" s="1"/>
  <c r="BL54" i="14"/>
  <c r="BD54" i="14"/>
  <c r="AV54" i="14"/>
  <c r="AN54" i="14"/>
  <c r="AF54" i="14"/>
  <c r="X54" i="14"/>
  <c r="P54" i="14"/>
  <c r="H54" i="14"/>
  <c r="BS53" i="14"/>
  <c r="BR53" i="14"/>
  <c r="BQ53" i="14"/>
  <c r="BP53" i="14"/>
  <c r="BO53" i="14"/>
  <c r="BN53" i="14"/>
  <c r="BL53" i="14"/>
  <c r="BD53" i="14"/>
  <c r="AV53" i="14"/>
  <c r="AN53" i="14"/>
  <c r="AF53" i="14"/>
  <c r="X53" i="14"/>
  <c r="P53" i="14"/>
  <c r="H53" i="14"/>
  <c r="BS52" i="14"/>
  <c r="BR52" i="14"/>
  <c r="BQ52" i="14"/>
  <c r="BP52" i="14"/>
  <c r="BO52" i="14"/>
  <c r="BN52" i="14"/>
  <c r="BL52" i="14"/>
  <c r="BD52" i="14"/>
  <c r="AV52" i="14"/>
  <c r="AN52" i="14"/>
  <c r="AF52" i="14"/>
  <c r="X52" i="14"/>
  <c r="P52" i="14"/>
  <c r="H52" i="14"/>
  <c r="BS51" i="14"/>
  <c r="BR51" i="14"/>
  <c r="BQ51" i="14"/>
  <c r="BP51" i="14"/>
  <c r="BO51" i="14"/>
  <c r="BL51" i="14"/>
  <c r="BD51" i="14"/>
  <c r="AV51" i="14"/>
  <c r="AF51" i="14"/>
  <c r="X51" i="14"/>
  <c r="J51" i="14"/>
  <c r="J112" i="14" s="1"/>
  <c r="P112" i="14" s="1"/>
  <c r="H51" i="14"/>
  <c r="BS50" i="14"/>
  <c r="BR50" i="14"/>
  <c r="BQ50" i="14"/>
  <c r="BP50" i="14"/>
  <c r="BO50" i="14"/>
  <c r="BN50" i="14"/>
  <c r="BL50" i="14"/>
  <c r="BD50" i="14"/>
  <c r="AM50" i="6" s="1"/>
  <c r="AV50" i="14"/>
  <c r="AN50" i="14"/>
  <c r="AF50" i="14"/>
  <c r="X50" i="14"/>
  <c r="P50" i="14"/>
  <c r="H50" i="14"/>
  <c r="BS49" i="14"/>
  <c r="BR49" i="14"/>
  <c r="BQ49" i="14"/>
  <c r="BP49" i="14"/>
  <c r="BO49" i="14"/>
  <c r="BN49" i="14"/>
  <c r="BT49" i="14" s="1"/>
  <c r="BL49" i="14"/>
  <c r="BD49" i="14"/>
  <c r="AV49" i="14"/>
  <c r="AN49" i="14"/>
  <c r="AF49" i="14"/>
  <c r="X49" i="14"/>
  <c r="P49" i="14"/>
  <c r="H49" i="14"/>
  <c r="BS48" i="14"/>
  <c r="BR48" i="14"/>
  <c r="BQ48" i="14"/>
  <c r="BP48" i="14"/>
  <c r="BO48" i="14"/>
  <c r="BN48" i="14"/>
  <c r="BL48" i="14"/>
  <c r="BD48" i="14"/>
  <c r="AV48" i="14"/>
  <c r="AN48" i="14"/>
  <c r="AF48" i="14"/>
  <c r="X48" i="14"/>
  <c r="P48" i="14"/>
  <c r="H48" i="14"/>
  <c r="BS47" i="14"/>
  <c r="BR47" i="14"/>
  <c r="BQ47" i="14"/>
  <c r="BP47" i="14"/>
  <c r="BO47" i="14"/>
  <c r="BN47" i="14"/>
  <c r="BL47" i="14"/>
  <c r="BD47" i="14"/>
  <c r="AV47" i="14"/>
  <c r="AN47" i="14"/>
  <c r="AF47" i="14"/>
  <c r="X47" i="14"/>
  <c r="P47" i="14"/>
  <c r="H47" i="14"/>
  <c r="BS46" i="14"/>
  <c r="BR46" i="14"/>
  <c r="BQ46" i="14"/>
  <c r="BP46" i="14"/>
  <c r="BO46" i="14"/>
  <c r="BN46" i="14"/>
  <c r="BL46" i="14"/>
  <c r="BD46" i="14"/>
  <c r="AV46" i="14"/>
  <c r="AN46" i="14"/>
  <c r="AF46" i="14"/>
  <c r="X46" i="14"/>
  <c r="P46" i="14"/>
  <c r="H46" i="14"/>
  <c r="BS45" i="14"/>
  <c r="BR45" i="14"/>
  <c r="BQ45" i="14"/>
  <c r="BP45" i="14"/>
  <c r="BO45" i="14"/>
  <c r="BN45" i="14"/>
  <c r="BL45" i="14"/>
  <c r="BD45" i="14"/>
  <c r="AV45" i="14"/>
  <c r="AN45" i="14"/>
  <c r="AF45" i="14"/>
  <c r="X45" i="14"/>
  <c r="P45" i="14"/>
  <c r="H45" i="14"/>
  <c r="BS44" i="14"/>
  <c r="BR44" i="14"/>
  <c r="BQ44" i="14"/>
  <c r="BP44" i="14"/>
  <c r="BO44" i="14"/>
  <c r="BN44" i="14"/>
  <c r="BL44" i="14"/>
  <c r="BD44" i="14"/>
  <c r="AV44" i="14"/>
  <c r="AN44" i="14"/>
  <c r="AF44" i="14"/>
  <c r="X44" i="14"/>
  <c r="P44" i="14"/>
  <c r="H44" i="14"/>
  <c r="BS43" i="14"/>
  <c r="BR43" i="14"/>
  <c r="BQ43" i="14"/>
  <c r="BP43" i="14"/>
  <c r="BO43" i="14"/>
  <c r="BN43" i="14"/>
  <c r="BL43" i="14"/>
  <c r="AS43" i="6" s="1"/>
  <c r="BD43" i="14"/>
  <c r="AV43" i="14"/>
  <c r="AN43" i="14"/>
  <c r="AF43" i="14"/>
  <c r="X43" i="14"/>
  <c r="P43" i="14"/>
  <c r="H43" i="14"/>
  <c r="BS42" i="14"/>
  <c r="BR42" i="14"/>
  <c r="BQ42" i="14"/>
  <c r="BT42" i="14" s="1"/>
  <c r="BP42" i="14"/>
  <c r="BO42" i="14"/>
  <c r="BN42" i="14"/>
  <c r="BL42" i="14"/>
  <c r="BD42" i="14"/>
  <c r="AV42" i="14"/>
  <c r="AN42" i="14"/>
  <c r="AF42" i="14"/>
  <c r="X42" i="14"/>
  <c r="P42" i="14"/>
  <c r="H42" i="14"/>
  <c r="BS41" i="14"/>
  <c r="BR41" i="14"/>
  <c r="BQ41" i="14"/>
  <c r="BP41" i="14"/>
  <c r="BO41" i="14"/>
  <c r="BN41" i="14"/>
  <c r="BL41" i="14"/>
  <c r="BD41" i="14"/>
  <c r="AV41" i="14"/>
  <c r="AN41" i="14"/>
  <c r="AF41" i="14"/>
  <c r="X41" i="14"/>
  <c r="P41" i="14"/>
  <c r="H41" i="14"/>
  <c r="BS40" i="14"/>
  <c r="BR40" i="14"/>
  <c r="BQ40" i="14"/>
  <c r="BP40" i="14"/>
  <c r="BO40" i="14"/>
  <c r="BN40" i="14"/>
  <c r="BL40" i="14"/>
  <c r="BD40" i="14"/>
  <c r="AV40" i="14"/>
  <c r="AN40" i="14"/>
  <c r="AF40" i="14"/>
  <c r="X40" i="14"/>
  <c r="P40" i="14"/>
  <c r="H40" i="14"/>
  <c r="BS39" i="14"/>
  <c r="BR39" i="14"/>
  <c r="BQ39" i="14"/>
  <c r="BP39" i="14"/>
  <c r="BO39" i="14"/>
  <c r="BN39" i="14"/>
  <c r="BL39" i="14"/>
  <c r="BD39" i="14"/>
  <c r="AV39" i="14"/>
  <c r="AN39" i="14"/>
  <c r="AF39" i="14"/>
  <c r="X39" i="14"/>
  <c r="P39" i="14"/>
  <c r="H39" i="14"/>
  <c r="BQ38" i="14"/>
  <c r="BI38" i="14"/>
  <c r="BA38" i="14"/>
  <c r="AV38" i="14"/>
  <c r="AV67" i="14" s="1"/>
  <c r="AV84" i="14" s="1"/>
  <c r="AV91" i="14" s="1"/>
  <c r="AV118" i="14" s="1"/>
  <c r="AV134" i="14" s="1"/>
  <c r="AV143" i="14" s="1"/>
  <c r="AV151" i="14" s="1"/>
  <c r="AV161" i="14" s="1"/>
  <c r="AV173" i="14" s="1"/>
  <c r="AV196" i="14" s="1"/>
  <c r="AS38" i="14"/>
  <c r="AK38" i="14"/>
  <c r="AF38" i="14"/>
  <c r="AF67" i="14" s="1"/>
  <c r="AF84" i="14" s="1"/>
  <c r="AF91" i="14" s="1"/>
  <c r="AF118" i="14" s="1"/>
  <c r="AF134" i="14" s="1"/>
  <c r="AF143" i="14" s="1"/>
  <c r="AF151" i="14" s="1"/>
  <c r="AF161" i="14" s="1"/>
  <c r="AF173" i="14" s="1"/>
  <c r="AF196" i="14" s="1"/>
  <c r="AC38" i="14"/>
  <c r="X38" i="14"/>
  <c r="U38" i="14"/>
  <c r="M38" i="14"/>
  <c r="E38" i="14"/>
  <c r="BK36" i="14"/>
  <c r="BK128" i="14" s="1"/>
  <c r="BJ36" i="14"/>
  <c r="BJ63" i="14" s="1"/>
  <c r="BJ65" i="14" s="1"/>
  <c r="BI36" i="14"/>
  <c r="BH36" i="14"/>
  <c r="BH129" i="14" s="1"/>
  <c r="BG36" i="14"/>
  <c r="BF36" i="14"/>
  <c r="BF128" i="14" s="1"/>
  <c r="BC36" i="14"/>
  <c r="BB36" i="14"/>
  <c r="BB128" i="14" s="1"/>
  <c r="BA36" i="14"/>
  <c r="AZ36" i="14"/>
  <c r="AZ129" i="14" s="1"/>
  <c r="AY36" i="14"/>
  <c r="AX36" i="14"/>
  <c r="AX129" i="14" s="1"/>
  <c r="AU36" i="14"/>
  <c r="AT36" i="14"/>
  <c r="AT129" i="14" s="1"/>
  <c r="AS36" i="14"/>
  <c r="AS128" i="14" s="1"/>
  <c r="AR36" i="14"/>
  <c r="AQ36" i="14"/>
  <c r="AP36" i="14"/>
  <c r="AM36" i="14"/>
  <c r="AL36" i="14"/>
  <c r="AL129" i="14" s="1"/>
  <c r="AK36" i="14"/>
  <c r="AK128" i="14" s="1"/>
  <c r="AJ36" i="14"/>
  <c r="AJ63" i="14" s="1"/>
  <c r="AI36" i="14"/>
  <c r="AI63" i="14" s="1"/>
  <c r="AE36" i="14"/>
  <c r="AE129" i="14" s="1"/>
  <c r="AD36" i="14"/>
  <c r="AD128" i="14" s="1"/>
  <c r="AC36" i="14"/>
  <c r="AB36" i="14"/>
  <c r="AA36" i="14"/>
  <c r="Z36" i="14"/>
  <c r="W36" i="14"/>
  <c r="W129" i="14" s="1"/>
  <c r="V36" i="14"/>
  <c r="V128" i="14" s="1"/>
  <c r="U36" i="14"/>
  <c r="U154" i="14" s="1"/>
  <c r="T36" i="14"/>
  <c r="T154" i="14" s="1"/>
  <c r="S36" i="14"/>
  <c r="R36" i="14"/>
  <c r="O36" i="14"/>
  <c r="N36" i="14"/>
  <c r="M36" i="14"/>
  <c r="M154" i="14" s="1"/>
  <c r="M159" i="14" s="1"/>
  <c r="L36" i="14"/>
  <c r="L154" i="14" s="1"/>
  <c r="L159" i="14" s="1"/>
  <c r="K36" i="14"/>
  <c r="J36" i="14"/>
  <c r="J121" i="14" s="1"/>
  <c r="G36" i="14"/>
  <c r="G128" i="14" s="1"/>
  <c r="F36" i="14"/>
  <c r="F63" i="14" s="1"/>
  <c r="E36" i="14"/>
  <c r="E128" i="14" s="1"/>
  <c r="D36" i="14"/>
  <c r="D63" i="14" s="1"/>
  <c r="D127" i="14" s="1"/>
  <c r="C36" i="14"/>
  <c r="C128" i="14" s="1"/>
  <c r="B36" i="14"/>
  <c r="BS35" i="14"/>
  <c r="BR35" i="14"/>
  <c r="BQ35" i="14"/>
  <c r="BP35" i="14"/>
  <c r="BO35" i="14"/>
  <c r="BN35" i="14"/>
  <c r="BL35" i="14"/>
  <c r="BD35" i="14"/>
  <c r="AV35" i="14"/>
  <c r="AN35" i="14"/>
  <c r="AF35" i="14"/>
  <c r="X35" i="14"/>
  <c r="P35" i="14"/>
  <c r="H35" i="14"/>
  <c r="BS34" i="14"/>
  <c r="BR34" i="14"/>
  <c r="BQ34" i="14"/>
  <c r="BP34" i="14"/>
  <c r="BO34" i="14"/>
  <c r="BN34" i="14"/>
  <c r="BL34" i="14"/>
  <c r="BD34" i="14"/>
  <c r="AV34" i="14"/>
  <c r="AN34" i="14"/>
  <c r="AF34" i="14"/>
  <c r="X34" i="14"/>
  <c r="P34" i="14"/>
  <c r="H34" i="14"/>
  <c r="BS33" i="14"/>
  <c r="BR33" i="14"/>
  <c r="BQ33" i="14"/>
  <c r="BP33" i="14"/>
  <c r="BO33" i="14"/>
  <c r="BN33" i="14"/>
  <c r="BL33" i="14"/>
  <c r="BD33" i="14"/>
  <c r="AV33" i="14"/>
  <c r="AN33" i="14"/>
  <c r="AF33" i="14"/>
  <c r="X33" i="14"/>
  <c r="P33" i="14"/>
  <c r="H33" i="14"/>
  <c r="BS32" i="14"/>
  <c r="BT32" i="14" s="1"/>
  <c r="BR32" i="14"/>
  <c r="BQ32" i="14"/>
  <c r="BP32" i="14"/>
  <c r="BO32" i="14"/>
  <c r="BN32" i="14"/>
  <c r="BL32" i="14"/>
  <c r="BD32" i="14"/>
  <c r="AV32" i="14"/>
  <c r="AN32" i="14"/>
  <c r="AF32" i="14"/>
  <c r="X32" i="14"/>
  <c r="P32" i="14"/>
  <c r="H32" i="14"/>
  <c r="BS31" i="14"/>
  <c r="BR31" i="14"/>
  <c r="BQ31" i="14"/>
  <c r="BP31" i="14"/>
  <c r="BO31" i="14"/>
  <c r="BN31" i="14"/>
  <c r="BT31" i="14" s="1"/>
  <c r="BL31" i="14"/>
  <c r="BD31" i="14"/>
  <c r="AV31" i="14"/>
  <c r="AN31" i="14"/>
  <c r="AF31" i="14"/>
  <c r="X31" i="14"/>
  <c r="P31" i="14"/>
  <c r="H31" i="14"/>
  <c r="BS30" i="14"/>
  <c r="BR30" i="14"/>
  <c r="BQ30" i="14"/>
  <c r="BP30" i="14"/>
  <c r="BO30" i="14"/>
  <c r="BN30" i="14"/>
  <c r="BT30" i="14" s="1"/>
  <c r="BL30" i="14"/>
  <c r="BD30" i="14"/>
  <c r="AV30" i="14"/>
  <c r="AN30" i="14"/>
  <c r="AF30" i="14"/>
  <c r="X30" i="14"/>
  <c r="P30" i="14"/>
  <c r="H30" i="14"/>
  <c r="BS29" i="14"/>
  <c r="BR29" i="14"/>
  <c r="BQ29" i="14"/>
  <c r="BP29" i="14"/>
  <c r="BO29" i="14"/>
  <c r="BN29" i="14"/>
  <c r="BL29" i="14"/>
  <c r="BD29" i="14"/>
  <c r="AV29" i="14"/>
  <c r="AN29" i="14"/>
  <c r="AF29" i="14"/>
  <c r="X29" i="14"/>
  <c r="P29" i="14"/>
  <c r="H29" i="14"/>
  <c r="BS28" i="14"/>
  <c r="BR28" i="14"/>
  <c r="BQ28" i="14"/>
  <c r="BP28" i="14"/>
  <c r="BO28" i="14"/>
  <c r="BN28" i="14"/>
  <c r="BL28" i="14"/>
  <c r="BD28" i="14"/>
  <c r="AV28" i="14"/>
  <c r="AN28" i="14"/>
  <c r="AF28" i="14"/>
  <c r="X28" i="14"/>
  <c r="P28" i="14"/>
  <c r="H28" i="14"/>
  <c r="BS27" i="14"/>
  <c r="BR27" i="14"/>
  <c r="BQ27" i="14"/>
  <c r="BP27" i="14"/>
  <c r="BO27" i="14"/>
  <c r="BL27" i="14"/>
  <c r="BD27" i="14"/>
  <c r="AV27" i="14"/>
  <c r="AF27" i="14"/>
  <c r="X27" i="14"/>
  <c r="P27" i="14"/>
  <c r="H27" i="14"/>
  <c r="BQ26" i="14"/>
  <c r="BL26" i="14"/>
  <c r="BL38" i="14" s="1"/>
  <c r="BL67" i="14" s="1"/>
  <c r="BL84" i="14" s="1"/>
  <c r="BL91" i="14" s="1"/>
  <c r="BL118" i="14" s="1"/>
  <c r="BL134" i="14" s="1"/>
  <c r="BL143" i="14" s="1"/>
  <c r="BL151" i="14" s="1"/>
  <c r="BL161" i="14" s="1"/>
  <c r="BL173" i="14" s="1"/>
  <c r="BL196" i="14" s="1"/>
  <c r="BI26" i="14"/>
  <c r="BD26" i="14"/>
  <c r="BD38" i="14" s="1"/>
  <c r="BD67" i="14" s="1"/>
  <c r="BD84" i="14" s="1"/>
  <c r="BD91" i="14" s="1"/>
  <c r="BD118" i="14" s="1"/>
  <c r="BD134" i="14" s="1"/>
  <c r="BD143" i="14" s="1"/>
  <c r="BD151" i="14" s="1"/>
  <c r="BD161" i="14" s="1"/>
  <c r="BD173" i="14" s="1"/>
  <c r="BD196" i="14" s="1"/>
  <c r="BA26" i="14"/>
  <c r="AV26" i="14"/>
  <c r="AS26" i="14"/>
  <c r="AN26" i="14"/>
  <c r="AN38" i="14" s="1"/>
  <c r="AN67" i="14" s="1"/>
  <c r="AN84" i="14" s="1"/>
  <c r="AN91" i="14" s="1"/>
  <c r="AN118" i="14" s="1"/>
  <c r="AN134" i="14" s="1"/>
  <c r="AN143" i="14" s="1"/>
  <c r="AN151" i="14" s="1"/>
  <c r="AN161" i="14" s="1"/>
  <c r="AN173" i="14" s="1"/>
  <c r="AN196" i="14" s="1"/>
  <c r="AK26" i="14"/>
  <c r="AF26" i="14"/>
  <c r="AC26" i="14"/>
  <c r="X26" i="14"/>
  <c r="U26" i="14"/>
  <c r="P26" i="14"/>
  <c r="P38" i="14" s="1"/>
  <c r="M26" i="14"/>
  <c r="E26" i="14"/>
  <c r="BS25" i="14"/>
  <c r="BR25" i="14"/>
  <c r="BQ25" i="14"/>
  <c r="BO25" i="14"/>
  <c r="BN25" i="14"/>
  <c r="BD25" i="14"/>
  <c r="AV25" i="14"/>
  <c r="AN25" i="14"/>
  <c r="AF25" i="14"/>
  <c r="X25" i="14"/>
  <c r="P25" i="14"/>
  <c r="BS24" i="14"/>
  <c r="BR24" i="14"/>
  <c r="BQ24" i="14"/>
  <c r="BP24" i="14"/>
  <c r="BO24" i="14"/>
  <c r="BN24" i="14"/>
  <c r="BL24" i="14"/>
  <c r="BD24" i="14"/>
  <c r="AV24" i="14"/>
  <c r="AN24" i="14"/>
  <c r="AF24" i="14"/>
  <c r="X24" i="14"/>
  <c r="P24" i="14"/>
  <c r="H24" i="14"/>
  <c r="BS23" i="14"/>
  <c r="BR23" i="14"/>
  <c r="BQ23" i="14"/>
  <c r="BP23" i="14"/>
  <c r="BO23" i="14"/>
  <c r="BN23" i="14"/>
  <c r="BL23" i="14"/>
  <c r="BD23" i="14"/>
  <c r="AV23" i="14"/>
  <c r="AN23" i="14"/>
  <c r="AF23" i="14"/>
  <c r="X23" i="14"/>
  <c r="P23" i="14"/>
  <c r="H23" i="14"/>
  <c r="BS22" i="14"/>
  <c r="BR22" i="14"/>
  <c r="BQ22" i="14"/>
  <c r="BP22" i="14"/>
  <c r="BO22" i="14"/>
  <c r="BN22" i="14"/>
  <c r="BL22" i="14"/>
  <c r="BD22" i="14"/>
  <c r="AV22" i="14"/>
  <c r="AN22" i="14"/>
  <c r="AF22" i="14"/>
  <c r="X22" i="14"/>
  <c r="P22" i="14"/>
  <c r="H22" i="14"/>
  <c r="BS21" i="14"/>
  <c r="BR21" i="14"/>
  <c r="BQ21" i="14"/>
  <c r="BP21" i="14"/>
  <c r="BO21" i="14"/>
  <c r="BN21" i="14"/>
  <c r="BL21" i="14"/>
  <c r="BD21" i="14"/>
  <c r="AV21" i="14"/>
  <c r="AN21" i="14"/>
  <c r="AF21" i="14"/>
  <c r="X21" i="14"/>
  <c r="P21" i="14"/>
  <c r="H21" i="14"/>
  <c r="BT20" i="14"/>
  <c r="BT220" i="14" s="1"/>
  <c r="BL20" i="14"/>
  <c r="BF17" i="14"/>
  <c r="BF146" i="14" s="1"/>
  <c r="BL146" i="14" s="1"/>
  <c r="AY17" i="14"/>
  <c r="AX17" i="14"/>
  <c r="AQ17" i="14"/>
  <c r="AI17" i="14"/>
  <c r="AA17" i="14"/>
  <c r="Z17" i="14"/>
  <c r="S17" i="14"/>
  <c r="K17" i="14"/>
  <c r="BN16" i="14"/>
  <c r="BN15" i="14"/>
  <c r="BN14" i="14"/>
  <c r="AY14" i="6" s="1"/>
  <c r="BN13" i="14"/>
  <c r="AY13" i="6" s="1"/>
  <c r="BN12" i="14"/>
  <c r="AY12" i="6" s="1"/>
  <c r="BN11" i="14"/>
  <c r="AY11" i="6" s="1"/>
  <c r="BN10" i="14"/>
  <c r="AY10" i="6" s="1"/>
  <c r="BN9" i="14"/>
  <c r="AH9" i="14"/>
  <c r="J9" i="14"/>
  <c r="AH8" i="14"/>
  <c r="R8" i="14"/>
  <c r="J8" i="14"/>
  <c r="B8" i="14"/>
  <c r="BN8" i="14" s="1"/>
  <c r="R7" i="14"/>
  <c r="J7" i="14"/>
  <c r="J6" i="14"/>
  <c r="BN6" i="14" s="1"/>
  <c r="J5" i="14"/>
  <c r="BN5" i="14" s="1"/>
  <c r="AP3" i="14"/>
  <c r="AG3" i="6" s="1"/>
  <c r="R4" i="14"/>
  <c r="J4" i="14"/>
  <c r="BF3" i="14"/>
  <c r="AX3" i="14"/>
  <c r="AM3" i="6" s="1"/>
  <c r="Z3" i="14"/>
  <c r="G5" i="7"/>
  <c r="G6" i="7"/>
  <c r="G7" i="7"/>
  <c r="F5" i="7"/>
  <c r="E7" i="7"/>
  <c r="E6" i="7"/>
  <c r="E5" i="7"/>
  <c r="D4" i="7"/>
  <c r="B10" i="12"/>
  <c r="D11" i="3"/>
  <c r="D12" i="3" s="1"/>
  <c r="E12" i="3" s="1"/>
  <c r="F12" i="3" s="1"/>
  <c r="C11" i="3"/>
  <c r="E10" i="3"/>
  <c r="F10" i="3" s="1"/>
  <c r="E9" i="3"/>
  <c r="F9" i="3" s="1"/>
  <c r="E8" i="3"/>
  <c r="F8" i="3" s="1"/>
  <c r="E7" i="3"/>
  <c r="F7" i="3" s="1"/>
  <c r="C6" i="3"/>
  <c r="C12" i="3" s="1"/>
  <c r="BW25" i="2"/>
  <c r="BW26" i="2"/>
  <c r="BW37" i="2"/>
  <c r="BW38" i="2"/>
  <c r="BW62" i="2"/>
  <c r="BW66" i="2"/>
  <c r="BW67" i="2"/>
  <c r="BW83" i="2"/>
  <c r="BW84" i="2"/>
  <c r="BW89" i="2"/>
  <c r="BW90" i="2"/>
  <c r="BW91" i="2"/>
  <c r="BW92" i="2"/>
  <c r="BW117" i="2"/>
  <c r="BW118" i="2"/>
  <c r="BW133" i="2"/>
  <c r="BW134" i="2"/>
  <c r="BW142" i="2"/>
  <c r="BW143" i="2"/>
  <c r="BW150" i="2"/>
  <c r="BW151" i="2"/>
  <c r="BW160" i="2"/>
  <c r="BW161" i="2"/>
  <c r="BW172" i="2"/>
  <c r="BW173" i="2"/>
  <c r="BW195" i="2"/>
  <c r="BW196" i="2"/>
  <c r="BW208" i="2"/>
  <c r="BW210" i="2"/>
  <c r="BW211" i="2"/>
  <c r="BN213" i="2"/>
  <c r="BO213" i="2"/>
  <c r="BP213" i="2"/>
  <c r="BQ213" i="2"/>
  <c r="BR213" i="2"/>
  <c r="BS213" i="2"/>
  <c r="BN214" i="2"/>
  <c r="BO214" i="2"/>
  <c r="BP214" i="2"/>
  <c r="BQ214" i="2"/>
  <c r="BR214" i="2"/>
  <c r="BS214" i="2"/>
  <c r="BO215" i="2"/>
  <c r="BP215" i="2"/>
  <c r="BQ215" i="2"/>
  <c r="BR215" i="2"/>
  <c r="BS215" i="2"/>
  <c r="BO212" i="2"/>
  <c r="BP212" i="2"/>
  <c r="BQ212" i="2"/>
  <c r="BR212" i="2"/>
  <c r="BS212" i="2"/>
  <c r="BN212" i="2"/>
  <c r="BN198" i="2"/>
  <c r="BO198" i="2"/>
  <c r="BP198" i="2"/>
  <c r="BQ198" i="2"/>
  <c r="BR198" i="2"/>
  <c r="BS198" i="2"/>
  <c r="BN199" i="2"/>
  <c r="BO199" i="2"/>
  <c r="BP199" i="2"/>
  <c r="BQ199" i="2"/>
  <c r="BR199" i="2"/>
  <c r="BS199" i="2"/>
  <c r="BN200" i="2"/>
  <c r="BO200" i="2"/>
  <c r="BP200" i="2"/>
  <c r="BQ200" i="2"/>
  <c r="BR200" i="2"/>
  <c r="BS200" i="2"/>
  <c r="BN201" i="2"/>
  <c r="BO201" i="2"/>
  <c r="BP201" i="2"/>
  <c r="BQ201" i="2"/>
  <c r="BR201" i="2"/>
  <c r="BS201" i="2"/>
  <c r="BN202" i="2"/>
  <c r="BO202" i="2"/>
  <c r="BP202" i="2"/>
  <c r="BQ202" i="2"/>
  <c r="BR202" i="2"/>
  <c r="BS202" i="2"/>
  <c r="BN203" i="2"/>
  <c r="BO203" i="2"/>
  <c r="BP203" i="2"/>
  <c r="BQ203" i="2"/>
  <c r="BR203" i="2"/>
  <c r="BS203" i="2"/>
  <c r="BN204" i="2"/>
  <c r="BO204" i="2"/>
  <c r="BP204" i="2"/>
  <c r="BQ204" i="2"/>
  <c r="BR204" i="2"/>
  <c r="BS204" i="2"/>
  <c r="BO205" i="2"/>
  <c r="BP205" i="2"/>
  <c r="BQ205" i="2"/>
  <c r="BR205" i="2"/>
  <c r="BS205" i="2"/>
  <c r="BN206" i="2"/>
  <c r="BO206" i="2"/>
  <c r="BP206" i="2"/>
  <c r="BQ206" i="2"/>
  <c r="BR206" i="2"/>
  <c r="BS206" i="2"/>
  <c r="BO197" i="2"/>
  <c r="BP197" i="2"/>
  <c r="BQ197" i="2"/>
  <c r="BR197" i="2"/>
  <c r="BS197" i="2"/>
  <c r="BN197" i="2"/>
  <c r="BN175" i="2"/>
  <c r="BO175" i="2"/>
  <c r="BP175" i="2"/>
  <c r="BQ175" i="2"/>
  <c r="BR175" i="2"/>
  <c r="BS175" i="2"/>
  <c r="BN176" i="2"/>
  <c r="BO176" i="2"/>
  <c r="BP176" i="2"/>
  <c r="BQ176" i="2"/>
  <c r="BR176" i="2"/>
  <c r="BS176" i="2"/>
  <c r="BN177" i="2"/>
  <c r="BO177" i="2"/>
  <c r="BP177" i="2"/>
  <c r="BQ177" i="2"/>
  <c r="BR177" i="2"/>
  <c r="BS177" i="2"/>
  <c r="BO178" i="2"/>
  <c r="BP178" i="2"/>
  <c r="BQ178" i="2"/>
  <c r="BR178" i="2"/>
  <c r="BS178" i="2"/>
  <c r="BN179" i="2"/>
  <c r="BO179" i="2"/>
  <c r="BP179" i="2"/>
  <c r="BQ179" i="2"/>
  <c r="BR179" i="2"/>
  <c r="BS179" i="2"/>
  <c r="BN180" i="2"/>
  <c r="BO180" i="2"/>
  <c r="BQ180" i="2"/>
  <c r="BR180" i="2"/>
  <c r="BS180" i="2"/>
  <c r="BN181" i="2"/>
  <c r="BO181" i="2"/>
  <c r="BP181" i="2"/>
  <c r="BQ181" i="2"/>
  <c r="BR181" i="2"/>
  <c r="BS181" i="2"/>
  <c r="BN182" i="2"/>
  <c r="BO182" i="2"/>
  <c r="BP182" i="2"/>
  <c r="BQ182" i="2"/>
  <c r="BR182" i="2"/>
  <c r="BS182" i="2"/>
  <c r="BN183" i="2"/>
  <c r="BO183" i="2"/>
  <c r="BP183" i="2"/>
  <c r="BQ183" i="2"/>
  <c r="BR183" i="2"/>
  <c r="BS183" i="2"/>
  <c r="BN184" i="2"/>
  <c r="BO184" i="2"/>
  <c r="BP184" i="2"/>
  <c r="BQ184" i="2"/>
  <c r="BR184" i="2"/>
  <c r="BS184" i="2"/>
  <c r="BN185" i="2"/>
  <c r="BO185" i="2"/>
  <c r="BP185" i="2"/>
  <c r="BQ185" i="2"/>
  <c r="BR185" i="2"/>
  <c r="BS185" i="2"/>
  <c r="BN186" i="2"/>
  <c r="BO186" i="2"/>
  <c r="BP186" i="2"/>
  <c r="BQ186" i="2"/>
  <c r="BR186" i="2"/>
  <c r="BS186" i="2"/>
  <c r="BN187" i="2"/>
  <c r="BO187" i="2"/>
  <c r="BP187" i="2"/>
  <c r="BQ187" i="2"/>
  <c r="BR187" i="2"/>
  <c r="BS187" i="2"/>
  <c r="BN188" i="2"/>
  <c r="BO188" i="2"/>
  <c r="BP188" i="2"/>
  <c r="BQ188" i="2"/>
  <c r="BR188" i="2"/>
  <c r="BS188" i="2"/>
  <c r="BN189" i="2"/>
  <c r="BO189" i="2"/>
  <c r="BP189" i="2"/>
  <c r="BQ189" i="2"/>
  <c r="BR189" i="2"/>
  <c r="BS189" i="2"/>
  <c r="BN190" i="2"/>
  <c r="BO190" i="2"/>
  <c r="BP190" i="2"/>
  <c r="BQ190" i="2"/>
  <c r="BR190" i="2"/>
  <c r="BS190" i="2"/>
  <c r="BN191" i="2"/>
  <c r="BO191" i="2"/>
  <c r="BP191" i="2"/>
  <c r="BQ191" i="2"/>
  <c r="BR191" i="2"/>
  <c r="BN192" i="2"/>
  <c r="BO192" i="2"/>
  <c r="BP192" i="2"/>
  <c r="BQ192" i="2"/>
  <c r="BR192" i="2"/>
  <c r="BS192" i="2"/>
  <c r="BO193" i="2"/>
  <c r="BP193" i="2"/>
  <c r="BQ193" i="2"/>
  <c r="BR193" i="2"/>
  <c r="BS193" i="2"/>
  <c r="BO174" i="2"/>
  <c r="BP174" i="2"/>
  <c r="BQ174" i="2"/>
  <c r="BR174" i="2"/>
  <c r="BS174" i="2"/>
  <c r="BN174" i="2"/>
  <c r="AX65" i="14" l="1"/>
  <c r="AM17" i="6"/>
  <c r="AX138" i="14"/>
  <c r="AX130" i="14"/>
  <c r="AY153" i="14"/>
  <c r="AX155" i="14"/>
  <c r="AX164" i="14"/>
  <c r="BD164" i="14" s="1"/>
  <c r="AM164" i="6" s="1"/>
  <c r="AX145" i="14"/>
  <c r="BD145" i="14" s="1"/>
  <c r="AM145" i="6" s="1"/>
  <c r="AX144" i="14"/>
  <c r="AX168" i="14"/>
  <c r="BD168" i="14" s="1"/>
  <c r="AM168" i="6" s="1"/>
  <c r="AX178" i="14"/>
  <c r="BF127" i="14"/>
  <c r="BF126" i="14"/>
  <c r="X216" i="14"/>
  <c r="O216" i="6" s="1"/>
  <c r="H216" i="2"/>
  <c r="B216" i="6" s="1"/>
  <c r="Z146" i="14"/>
  <c r="Z145" i="14"/>
  <c r="Z138" i="14"/>
  <c r="Z141" i="14" s="1"/>
  <c r="Z178" i="14"/>
  <c r="Z148" i="14"/>
  <c r="Z164" i="14"/>
  <c r="AA153" i="14"/>
  <c r="AF153" i="14" s="1"/>
  <c r="Z168" i="14"/>
  <c r="AF168" i="14" s="1"/>
  <c r="Z144" i="14"/>
  <c r="Z149" i="14" s="1"/>
  <c r="AT126" i="14"/>
  <c r="BT73" i="14"/>
  <c r="AY73" i="6" s="1"/>
  <c r="AP154" i="14"/>
  <c r="BT187" i="14"/>
  <c r="BT22" i="14"/>
  <c r="H88" i="14"/>
  <c r="AA116" i="14"/>
  <c r="AQ128" i="14"/>
  <c r="M116" i="14"/>
  <c r="E151" i="14"/>
  <c r="E161" i="14" s="1"/>
  <c r="E173" i="14" s="1"/>
  <c r="E196" i="14" s="1"/>
  <c r="AN191" i="14"/>
  <c r="AM194" i="14"/>
  <c r="BP113" i="14"/>
  <c r="AH112" i="14"/>
  <c r="AN112" i="14" s="1"/>
  <c r="BN51" i="14"/>
  <c r="BT51" i="14" s="1"/>
  <c r="AU65" i="14"/>
  <c r="AQ116" i="14"/>
  <c r="BL129" i="14"/>
  <c r="AS129" i="6" s="1"/>
  <c r="AN51" i="14"/>
  <c r="AN61" i="14" s="1"/>
  <c r="AN64" i="14" s="1"/>
  <c r="BT60" i="14"/>
  <c r="J154" i="14"/>
  <c r="BR149" i="14"/>
  <c r="BL216" i="14"/>
  <c r="K154" i="14"/>
  <c r="BR171" i="14"/>
  <c r="BD216" i="14"/>
  <c r="BN177" i="14"/>
  <c r="BT177" i="14" s="1"/>
  <c r="H177" i="14"/>
  <c r="BT28" i="14"/>
  <c r="BT35" i="14"/>
  <c r="BP61" i="14"/>
  <c r="BP64" i="14" s="1"/>
  <c r="AN85" i="14"/>
  <c r="AN88" i="14" s="1"/>
  <c r="AK88" i="14"/>
  <c r="O116" i="14"/>
  <c r="BK126" i="14"/>
  <c r="BT53" i="14"/>
  <c r="BJ126" i="14"/>
  <c r="BR126" i="14" s="1"/>
  <c r="BJ127" i="14"/>
  <c r="BO61" i="14"/>
  <c r="BO64" i="14" s="1"/>
  <c r="AE111" i="14"/>
  <c r="AE116" i="14" s="1"/>
  <c r="BR36" i="14"/>
  <c r="BR63" i="14" s="1"/>
  <c r="BL76" i="14"/>
  <c r="BF82" i="14"/>
  <c r="BN76" i="14"/>
  <c r="BT76" i="14" s="1"/>
  <c r="BL123" i="14"/>
  <c r="T132" i="14"/>
  <c r="P143" i="14"/>
  <c r="P151" i="14" s="1"/>
  <c r="P161" i="14" s="1"/>
  <c r="P173" i="14" s="1"/>
  <c r="P196" i="14" s="1"/>
  <c r="BT183" i="14"/>
  <c r="W65" i="14"/>
  <c r="W111" i="14"/>
  <c r="W116" i="14" s="1"/>
  <c r="BD112" i="14"/>
  <c r="F126" i="14"/>
  <c r="BT55" i="14"/>
  <c r="BN200" i="14"/>
  <c r="BT200" i="14" s="1"/>
  <c r="H200" i="14"/>
  <c r="BR112" i="14"/>
  <c r="BL109" i="14"/>
  <c r="AK132" i="14"/>
  <c r="AF191" i="14"/>
  <c r="BT29" i="14"/>
  <c r="BT44" i="14"/>
  <c r="AD111" i="14"/>
  <c r="AD116" i="14" s="1"/>
  <c r="BS149" i="14"/>
  <c r="BT147" i="14"/>
  <c r="BI63" i="14"/>
  <c r="BI65" i="14" s="1"/>
  <c r="BI128" i="14"/>
  <c r="BG111" i="14"/>
  <c r="AH36" i="14"/>
  <c r="BN27" i="14"/>
  <c r="BT27" i="14" s="1"/>
  <c r="J17" i="14"/>
  <c r="AN27" i="14"/>
  <c r="AN36" i="14" s="1"/>
  <c r="AN63" i="14" s="1"/>
  <c r="O111" i="14"/>
  <c r="X113" i="14"/>
  <c r="BD113" i="14"/>
  <c r="BN123" i="14"/>
  <c r="BR154" i="14"/>
  <c r="BR159" i="14" s="1"/>
  <c r="X181" i="14"/>
  <c r="AR109" i="14"/>
  <c r="AV102" i="14"/>
  <c r="BH126" i="14"/>
  <c r="BP126" i="14" s="1"/>
  <c r="BH127" i="14"/>
  <c r="H61" i="14"/>
  <c r="H64" i="14" s="1"/>
  <c r="W128" i="14"/>
  <c r="X128" i="14" s="1"/>
  <c r="W63" i="14"/>
  <c r="BG129" i="14"/>
  <c r="BG63" i="14"/>
  <c r="BG65" i="14" s="1"/>
  <c r="BG128" i="14"/>
  <c r="AR154" i="14"/>
  <c r="AR159" i="14" s="1"/>
  <c r="AR129" i="14"/>
  <c r="AR128" i="14"/>
  <c r="AR132" i="14" s="1"/>
  <c r="V65" i="14"/>
  <c r="BT97" i="14"/>
  <c r="AB116" i="14"/>
  <c r="BK116" i="14"/>
  <c r="BR141" i="14"/>
  <c r="AA141" i="14"/>
  <c r="BS154" i="14"/>
  <c r="BS159" i="14" s="1"/>
  <c r="AR194" i="14"/>
  <c r="AV180" i="14"/>
  <c r="H201" i="14"/>
  <c r="BN95" i="14"/>
  <c r="BT95" i="14" s="1"/>
  <c r="BT190" i="14"/>
  <c r="BT45" i="14"/>
  <c r="BQ61" i="14"/>
  <c r="BQ64" i="14" s="1"/>
  <c r="AV112" i="14"/>
  <c r="BT214" i="14"/>
  <c r="AY214" i="6" s="1"/>
  <c r="BL113" i="14"/>
  <c r="R154" i="14"/>
  <c r="AE63" i="14"/>
  <c r="BK63" i="14"/>
  <c r="BK65" i="14" s="1"/>
  <c r="B3" i="14"/>
  <c r="BT47" i="14"/>
  <c r="AZ111" i="14"/>
  <c r="AZ116" i="14" s="1"/>
  <c r="AF81" i="14"/>
  <c r="BT87" i="14"/>
  <c r="BH116" i="14"/>
  <c r="BK111" i="14"/>
  <c r="AF112" i="14"/>
  <c r="D128" i="14"/>
  <c r="BG141" i="14"/>
  <c r="BL159" i="14"/>
  <c r="BT181" i="14"/>
  <c r="BN182" i="14"/>
  <c r="BT182" i="14" s="1"/>
  <c r="AF216" i="14"/>
  <c r="U216" i="6" s="1"/>
  <c r="BT43" i="14"/>
  <c r="AY43" i="6" s="1"/>
  <c r="BT50" i="14"/>
  <c r="AY50" i="6" s="1"/>
  <c r="AD129" i="14"/>
  <c r="N111" i="14"/>
  <c r="N116" i="14" s="1"/>
  <c r="AD63" i="14"/>
  <c r="AD65" i="14" s="1"/>
  <c r="BT175" i="14"/>
  <c r="BN7" i="14"/>
  <c r="AY7" i="6" s="1"/>
  <c r="S154" i="14"/>
  <c r="B17" i="14"/>
  <c r="BT26" i="14"/>
  <c r="BT38" i="14" s="1"/>
  <c r="BT67" i="14" s="1"/>
  <c r="BT84" i="14" s="1"/>
  <c r="AK111" i="14"/>
  <c r="BA111" i="14"/>
  <c r="BA116" i="14" s="1"/>
  <c r="C63" i="14"/>
  <c r="BJ116" i="14"/>
  <c r="AF113" i="14"/>
  <c r="BD123" i="14"/>
  <c r="AM123" i="6" s="1"/>
  <c r="BT136" i="14"/>
  <c r="BT166" i="14"/>
  <c r="M111" i="14"/>
  <c r="BL112" i="14"/>
  <c r="U110" i="14"/>
  <c r="U116" i="14" s="1"/>
  <c r="BR125" i="14"/>
  <c r="BT40" i="14"/>
  <c r="BI111" i="14"/>
  <c r="AV123" i="14"/>
  <c r="BD140" i="14"/>
  <c r="BT41" i="14"/>
  <c r="BT56" i="14"/>
  <c r="AI116" i="14"/>
  <c r="BT75" i="14"/>
  <c r="BP88" i="14"/>
  <c r="AT128" i="14"/>
  <c r="BT192" i="14"/>
  <c r="AH17" i="14"/>
  <c r="BT34" i="14"/>
  <c r="BT46" i="14"/>
  <c r="BT48" i="14"/>
  <c r="U111" i="14"/>
  <c r="BQ111" i="14" s="1"/>
  <c r="AL111" i="14"/>
  <c r="AL116" i="14" s="1"/>
  <c r="BB111" i="14"/>
  <c r="AK63" i="14"/>
  <c r="BD110" i="14"/>
  <c r="F128" i="14"/>
  <c r="BJ128" i="14"/>
  <c r="BQ149" i="14"/>
  <c r="BN203" i="14"/>
  <c r="BT203" i="14" s="1"/>
  <c r="X207" i="14"/>
  <c r="BT72" i="14"/>
  <c r="BN71" i="14"/>
  <c r="BT71" i="14" s="1"/>
  <c r="B164" i="14"/>
  <c r="BT201" i="14"/>
  <c r="BT186" i="14"/>
  <c r="BT169" i="14"/>
  <c r="P101" i="14"/>
  <c r="B65" i="2"/>
  <c r="F127" i="2"/>
  <c r="F65" i="2"/>
  <c r="G127" i="2"/>
  <c r="G132" i="2" s="1"/>
  <c r="G65" i="2"/>
  <c r="B111" i="2"/>
  <c r="H111" i="2" s="1"/>
  <c r="B154" i="2"/>
  <c r="H110" i="2"/>
  <c r="B121" i="2"/>
  <c r="B207" i="2"/>
  <c r="BN205" i="2"/>
  <c r="B178" i="2"/>
  <c r="H178" i="2" s="1"/>
  <c r="B164" i="2"/>
  <c r="B148" i="2"/>
  <c r="H148" i="2" s="1"/>
  <c r="C153" i="2"/>
  <c r="B146" i="2"/>
  <c r="H146" i="2" s="1"/>
  <c r="B145" i="2"/>
  <c r="H145" i="2" s="1"/>
  <c r="B168" i="2"/>
  <c r="H168" i="2" s="1"/>
  <c r="B144" i="2"/>
  <c r="G116" i="2"/>
  <c r="H205" i="2"/>
  <c r="H207" i="2" s="1"/>
  <c r="H113" i="2"/>
  <c r="BR112" i="2"/>
  <c r="H112" i="2"/>
  <c r="C63" i="2"/>
  <c r="C116" i="2"/>
  <c r="H128" i="2"/>
  <c r="D63" i="2"/>
  <c r="H63" i="2"/>
  <c r="H109" i="2"/>
  <c r="D116" i="2"/>
  <c r="F132" i="2"/>
  <c r="F209" i="2" s="1"/>
  <c r="F218" i="2" s="1"/>
  <c r="E116" i="2"/>
  <c r="E143" i="2"/>
  <c r="D154" i="2"/>
  <c r="D159" i="2" s="1"/>
  <c r="B157" i="2"/>
  <c r="H157" i="2" s="1"/>
  <c r="B82" i="2"/>
  <c r="B193" i="2"/>
  <c r="H193" i="2" s="1"/>
  <c r="B170" i="2"/>
  <c r="H170" i="2" s="1"/>
  <c r="B156" i="2"/>
  <c r="H156" i="2" s="1"/>
  <c r="F116" i="2"/>
  <c r="H61" i="2"/>
  <c r="H64" i="2" s="1"/>
  <c r="B138" i="2"/>
  <c r="H138" i="2" s="1"/>
  <c r="D194" i="2"/>
  <c r="BP180" i="2"/>
  <c r="BP194" i="2" s="1"/>
  <c r="H191" i="2"/>
  <c r="C111" i="2"/>
  <c r="H140" i="2"/>
  <c r="BP129" i="2"/>
  <c r="E63" i="2"/>
  <c r="H174" i="2"/>
  <c r="BQ129" i="2"/>
  <c r="H80" i="2"/>
  <c r="H74" i="2"/>
  <c r="BT184" i="14"/>
  <c r="AJ82" i="14"/>
  <c r="AN81" i="14"/>
  <c r="AX125" i="14"/>
  <c r="AX126" i="14" s="1"/>
  <c r="BD121" i="14"/>
  <c r="H191" i="14"/>
  <c r="BS191" i="14"/>
  <c r="BT191" i="14" s="1"/>
  <c r="G194" i="14"/>
  <c r="H216" i="14"/>
  <c r="C216" i="6" s="1"/>
  <c r="X36" i="14"/>
  <c r="X63" i="14" s="1"/>
  <c r="X65" i="14" s="1"/>
  <c r="BN88" i="14"/>
  <c r="Z109" i="14"/>
  <c r="AF98" i="14"/>
  <c r="AF109" i="14" s="1"/>
  <c r="BN137" i="14"/>
  <c r="BT137" i="14" s="1"/>
  <c r="P137" i="14"/>
  <c r="AV36" i="14"/>
  <c r="AV63" i="14" s="1"/>
  <c r="AF36" i="14"/>
  <c r="AF63" i="14" s="1"/>
  <c r="BQ36" i="14"/>
  <c r="BQ63" i="14" s="1"/>
  <c r="BQ65" i="14" s="1"/>
  <c r="Z125" i="14"/>
  <c r="AF121" i="14"/>
  <c r="BD109" i="14"/>
  <c r="B141" i="14"/>
  <c r="BD36" i="14"/>
  <c r="BD63" i="14" s="1"/>
  <c r="AV77" i="14"/>
  <c r="BA143" i="14"/>
  <c r="BA151" i="14"/>
  <c r="BA161" i="14" s="1"/>
  <c r="BA173" i="14" s="1"/>
  <c r="BA196" i="14" s="1"/>
  <c r="AH109" i="14"/>
  <c r="AH110" i="14" s="1"/>
  <c r="AN94" i="14"/>
  <c r="E116" i="14"/>
  <c r="BS207" i="14"/>
  <c r="F116" i="14"/>
  <c r="AJ65" i="14"/>
  <c r="K109" i="14"/>
  <c r="K110" i="14" s="1"/>
  <c r="BO104" i="14"/>
  <c r="X61" i="14"/>
  <c r="X64" i="14" s="1"/>
  <c r="BT91" i="14"/>
  <c r="AS143" i="14"/>
  <c r="AS151" i="14"/>
  <c r="AS161" i="14" s="1"/>
  <c r="AS173" i="14" s="1"/>
  <c r="AS196" i="14" s="1"/>
  <c r="P104" i="14"/>
  <c r="R65" i="14"/>
  <c r="BQ109" i="14"/>
  <c r="S65" i="14"/>
  <c r="M151" i="14"/>
  <c r="M161" i="14" s="1"/>
  <c r="M173" i="14" s="1"/>
  <c r="M196" i="14" s="1"/>
  <c r="M143" i="14"/>
  <c r="B68" i="14"/>
  <c r="AA82" i="14"/>
  <c r="AF74" i="14"/>
  <c r="BS126" i="14"/>
  <c r="BT162" i="14"/>
  <c r="F65" i="14"/>
  <c r="B129" i="14"/>
  <c r="B63" i="14"/>
  <c r="B128" i="14"/>
  <c r="J78" i="14"/>
  <c r="BD163" i="14"/>
  <c r="AM163" i="6" s="1"/>
  <c r="X101" i="14"/>
  <c r="BL61" i="14"/>
  <c r="BQ151" i="14"/>
  <c r="BQ161" i="14" s="1"/>
  <c r="BQ173" i="14" s="1"/>
  <c r="BQ196" i="14" s="1"/>
  <c r="BQ143" i="14"/>
  <c r="BD135" i="14"/>
  <c r="BL36" i="14"/>
  <c r="BL63" i="14" s="1"/>
  <c r="BS82" i="14"/>
  <c r="AN71" i="14"/>
  <c r="L222" i="14"/>
  <c r="L82" i="14"/>
  <c r="BN99" i="14"/>
  <c r="BT99" i="14" s="1"/>
  <c r="H99" i="14"/>
  <c r="H102" i="14"/>
  <c r="BP102" i="14"/>
  <c r="BP109" i="14" s="1"/>
  <c r="BS123" i="14"/>
  <c r="BI126" i="14"/>
  <c r="BI127" i="14"/>
  <c r="AF178" i="14"/>
  <c r="BR194" i="14"/>
  <c r="P80" i="14"/>
  <c r="L109" i="14"/>
  <c r="L110" i="14" s="1"/>
  <c r="P102" i="14"/>
  <c r="BT106" i="14"/>
  <c r="AF138" i="14"/>
  <c r="AF141" i="14" s="1"/>
  <c r="H140" i="14"/>
  <c r="C141" i="14"/>
  <c r="BO140" i="14"/>
  <c r="BT140" i="14" s="1"/>
  <c r="BO207" i="14"/>
  <c r="BT197" i="14"/>
  <c r="BO36" i="14"/>
  <c r="BO63" i="14" s="1"/>
  <c r="J128" i="14"/>
  <c r="J129" i="14"/>
  <c r="AM63" i="14"/>
  <c r="AM128" i="14"/>
  <c r="AM129" i="14"/>
  <c r="AC88" i="14"/>
  <c r="BQ85" i="14"/>
  <c r="BQ88" i="14" s="1"/>
  <c r="BR109" i="14"/>
  <c r="AP109" i="14"/>
  <c r="AV98" i="14"/>
  <c r="BQ112" i="14"/>
  <c r="BN206" i="14"/>
  <c r="BT206" i="14" s="1"/>
  <c r="J3" i="14"/>
  <c r="BN4" i="14"/>
  <c r="BP36" i="14"/>
  <c r="BP63" i="14" s="1"/>
  <c r="BP65" i="14" s="1"/>
  <c r="K129" i="14"/>
  <c r="K63" i="14"/>
  <c r="K128" i="14"/>
  <c r="BC128" i="14"/>
  <c r="BC63" i="14"/>
  <c r="AD132" i="14"/>
  <c r="AD209" i="14" s="1"/>
  <c r="AD218" i="14" s="1"/>
  <c r="AY132" i="14"/>
  <c r="AY65" i="14"/>
  <c r="BD74" i="14"/>
  <c r="AF85" i="14"/>
  <c r="AF88" i="14" s="1"/>
  <c r="BS109" i="14"/>
  <c r="BS125" i="14"/>
  <c r="AU132" i="14"/>
  <c r="AN174" i="14"/>
  <c r="BN174" i="14"/>
  <c r="BT176" i="14"/>
  <c r="BO194" i="14"/>
  <c r="R3" i="14"/>
  <c r="R17" i="14"/>
  <c r="H36" i="14"/>
  <c r="H63" i="14" s="1"/>
  <c r="L63" i="14"/>
  <c r="L127" i="14" s="1"/>
  <c r="L129" i="14"/>
  <c r="L128" i="14"/>
  <c r="AA63" i="14"/>
  <c r="AA129" i="14"/>
  <c r="AA159" i="14"/>
  <c r="AP63" i="14"/>
  <c r="AP129" i="14"/>
  <c r="AE65" i="14"/>
  <c r="AZ132" i="14"/>
  <c r="AZ209" i="14" s="1"/>
  <c r="AZ218" i="14" s="1"/>
  <c r="AZ65" i="14"/>
  <c r="P93" i="14"/>
  <c r="J109" i="14"/>
  <c r="J110" i="14" s="1"/>
  <c r="BN94" i="14"/>
  <c r="BT94" i="14" s="1"/>
  <c r="BB116" i="14"/>
  <c r="BQ113" i="14"/>
  <c r="BT120" i="14"/>
  <c r="H122" i="14"/>
  <c r="C125" i="14"/>
  <c r="C126" i="14" s="1"/>
  <c r="BF141" i="14"/>
  <c r="M63" i="14"/>
  <c r="M127" i="14" s="1"/>
  <c r="M128" i="14"/>
  <c r="M129" i="14"/>
  <c r="AB63" i="14"/>
  <c r="AB129" i="14"/>
  <c r="AB154" i="14"/>
  <c r="AB159" i="14" s="1"/>
  <c r="AQ63" i="14"/>
  <c r="AQ129" i="14"/>
  <c r="BS61" i="14"/>
  <c r="BS64" i="14" s="1"/>
  <c r="J63" i="14"/>
  <c r="BB63" i="14"/>
  <c r="BT86" i="14"/>
  <c r="AK116" i="14"/>
  <c r="AK209" i="14" s="1"/>
  <c r="AK218" i="14" s="1"/>
  <c r="BL138" i="14"/>
  <c r="AN140" i="14"/>
  <c r="AI141" i="14"/>
  <c r="BQ194" i="14"/>
  <c r="BQ216" i="14"/>
  <c r="BF148" i="14"/>
  <c r="BL148" i="14" s="1"/>
  <c r="BF139" i="14"/>
  <c r="BF145" i="14"/>
  <c r="N128" i="14"/>
  <c r="N129" i="14"/>
  <c r="AC129" i="14"/>
  <c r="AC128" i="14"/>
  <c r="AC63" i="14"/>
  <c r="AC154" i="14"/>
  <c r="AC159" i="14" s="1"/>
  <c r="BT39" i="14"/>
  <c r="N63" i="14"/>
  <c r="N127" i="14" s="1"/>
  <c r="AJ116" i="14"/>
  <c r="BD88" i="14"/>
  <c r="BT105" i="14"/>
  <c r="B109" i="14"/>
  <c r="B110" i="14" s="1"/>
  <c r="AY116" i="14"/>
  <c r="AN124" i="14"/>
  <c r="BR216" i="14"/>
  <c r="AQ82" i="14"/>
  <c r="BS110" i="14"/>
  <c r="Z128" i="14"/>
  <c r="Z63" i="14"/>
  <c r="Z129" i="14"/>
  <c r="BT21" i="14"/>
  <c r="BT33" i="14"/>
  <c r="O128" i="14"/>
  <c r="O129" i="14"/>
  <c r="O63" i="14"/>
  <c r="O127" i="14" s="1"/>
  <c r="AI65" i="14"/>
  <c r="AM116" i="14"/>
  <c r="H113" i="14"/>
  <c r="BR113" i="14"/>
  <c r="BL125" i="14"/>
  <c r="AS125" i="6" s="1"/>
  <c r="AA128" i="14"/>
  <c r="BS113" i="14"/>
  <c r="AP17" i="14"/>
  <c r="BT23" i="14"/>
  <c r="AT65" i="14"/>
  <c r="BN69" i="14"/>
  <c r="BT69" i="14" s="1"/>
  <c r="BO74" i="14"/>
  <c r="BO82" i="14" s="1"/>
  <c r="BP81" i="14"/>
  <c r="BT81" i="14" s="1"/>
  <c r="H112" i="14"/>
  <c r="H181" i="14"/>
  <c r="BR207" i="14"/>
  <c r="AH207" i="14"/>
  <c r="BN205" i="14"/>
  <c r="BT205" i="14" s="1"/>
  <c r="AN205" i="14"/>
  <c r="AN207" i="14" s="1"/>
  <c r="AV61" i="14"/>
  <c r="AV64" i="14" s="1"/>
  <c r="AH113" i="14"/>
  <c r="AN113" i="14" s="1"/>
  <c r="AH61" i="14"/>
  <c r="AH64" i="14" s="1"/>
  <c r="S116" i="14"/>
  <c r="AU116" i="14"/>
  <c r="H69" i="14"/>
  <c r="BT79" i="14"/>
  <c r="AR82" i="14"/>
  <c r="H81" i="14"/>
  <c r="P106" i="14"/>
  <c r="AS116" i="14"/>
  <c r="X112" i="14"/>
  <c r="BN119" i="14"/>
  <c r="BN135" i="14"/>
  <c r="AZ154" i="14"/>
  <c r="AZ159" i="14" s="1"/>
  <c r="P181" i="14"/>
  <c r="L194" i="14"/>
  <c r="BD138" i="14"/>
  <c r="AM138" i="6" s="1"/>
  <c r="BT24" i="14"/>
  <c r="AL128" i="14"/>
  <c r="AL63" i="14"/>
  <c r="BA154" i="14"/>
  <c r="BA159" i="14" s="1"/>
  <c r="BA63" i="14"/>
  <c r="BA129" i="14"/>
  <c r="BA128" i="14"/>
  <c r="BD61" i="14"/>
  <c r="AF61" i="14"/>
  <c r="AF64" i="14" s="1"/>
  <c r="BT58" i="14"/>
  <c r="BD111" i="14"/>
  <c r="AX68" i="14"/>
  <c r="AC143" i="14"/>
  <c r="AC151" i="14"/>
  <c r="AC161" i="14" s="1"/>
  <c r="AC173" i="14" s="1"/>
  <c r="AC196" i="14" s="1"/>
  <c r="AT116" i="14"/>
  <c r="BP112" i="14"/>
  <c r="AX116" i="14"/>
  <c r="AZ128" i="14"/>
  <c r="BL171" i="14"/>
  <c r="BN165" i="14"/>
  <c r="BT165" i="14" s="1"/>
  <c r="P165" i="14"/>
  <c r="BS171" i="14"/>
  <c r="BT179" i="14"/>
  <c r="BQ171" i="14"/>
  <c r="D194" i="14"/>
  <c r="AP207" i="14"/>
  <c r="S129" i="14"/>
  <c r="T109" i="14"/>
  <c r="T110" i="14" s="1"/>
  <c r="X102" i="14"/>
  <c r="BO171" i="14"/>
  <c r="AN168" i="14"/>
  <c r="H180" i="14"/>
  <c r="BP180" i="14"/>
  <c r="BT180" i="14" s="1"/>
  <c r="AF181" i="14"/>
  <c r="AV202" i="14"/>
  <c r="AV207" i="14" s="1"/>
  <c r="P36" i="14"/>
  <c r="P63" i="14" s="1"/>
  <c r="E129" i="14"/>
  <c r="E154" i="14"/>
  <c r="AU129" i="14"/>
  <c r="AU128" i="14"/>
  <c r="BT52" i="14"/>
  <c r="U132" i="14"/>
  <c r="BQ82" i="14"/>
  <c r="H74" i="14"/>
  <c r="BL77" i="14"/>
  <c r="AS77" i="6" s="1"/>
  <c r="BT103" i="14"/>
  <c r="BF109" i="14"/>
  <c r="BT114" i="14"/>
  <c r="BP125" i="14"/>
  <c r="BO123" i="14"/>
  <c r="H124" i="14"/>
  <c r="BN124" i="14"/>
  <c r="BT124" i="14" s="1"/>
  <c r="AH128" i="14"/>
  <c r="BP141" i="14"/>
  <c r="B207" i="14"/>
  <c r="AF148" i="14"/>
  <c r="AF145" i="14"/>
  <c r="AF146" i="14"/>
  <c r="BS36" i="14"/>
  <c r="BS63" i="14" s="1"/>
  <c r="BS65" i="14" s="1"/>
  <c r="AI129" i="14"/>
  <c r="P51" i="14"/>
  <c r="P61" i="14" s="1"/>
  <c r="P64" i="14" s="1"/>
  <c r="E63" i="14"/>
  <c r="E127" i="14" s="1"/>
  <c r="BH63" i="14"/>
  <c r="BH65" i="14" s="1"/>
  <c r="V116" i="14"/>
  <c r="BN98" i="14"/>
  <c r="BT98" i="14" s="1"/>
  <c r="P108" i="14"/>
  <c r="BN108" i="14"/>
  <c r="BT108" i="14" s="1"/>
  <c r="AV113" i="14"/>
  <c r="BQ125" i="14"/>
  <c r="V132" i="14"/>
  <c r="AI128" i="14"/>
  <c r="BO128" i="14" s="1"/>
  <c r="F129" i="14"/>
  <c r="BQ141" i="14"/>
  <c r="H202" i="14"/>
  <c r="H207" i="14" s="1"/>
  <c r="B216" i="14"/>
  <c r="BN215" i="14"/>
  <c r="BT215" i="14" s="1"/>
  <c r="AH3" i="14"/>
  <c r="AJ128" i="14"/>
  <c r="AJ154" i="14"/>
  <c r="AJ159" i="14" s="1"/>
  <c r="AX128" i="14"/>
  <c r="AR65" i="14"/>
  <c r="T65" i="14"/>
  <c r="AK65" i="14"/>
  <c r="Z68" i="14"/>
  <c r="BN70" i="14"/>
  <c r="BT70" i="14" s="1"/>
  <c r="BR77" i="14"/>
  <c r="BT77" i="14" s="1"/>
  <c r="AY77" i="6" s="1"/>
  <c r="E11" i="1" s="1"/>
  <c r="P88" i="14"/>
  <c r="BR88" i="14"/>
  <c r="H94" i="14"/>
  <c r="H98" i="14"/>
  <c r="BN101" i="14"/>
  <c r="BT101" i="14" s="1"/>
  <c r="H101" i="14"/>
  <c r="BG132" i="14"/>
  <c r="BK132" i="14"/>
  <c r="G129" i="14"/>
  <c r="BT131" i="14"/>
  <c r="X135" i="14"/>
  <c r="BO149" i="14"/>
  <c r="BL207" i="14"/>
  <c r="P207" i="14"/>
  <c r="BN202" i="14"/>
  <c r="BT202" i="14" s="1"/>
  <c r="BO216" i="14"/>
  <c r="H215" i="14"/>
  <c r="AY128" i="14"/>
  <c r="AY129" i="14"/>
  <c r="BD129" i="14" s="1"/>
  <c r="AM129" i="6" s="1"/>
  <c r="BR61" i="14"/>
  <c r="BR64" i="14" s="1"/>
  <c r="G63" i="14"/>
  <c r="AS65" i="14"/>
  <c r="D65" i="14"/>
  <c r="U65" i="14"/>
  <c r="H77" i="14"/>
  <c r="BP80" i="14"/>
  <c r="BT80" i="14" s="1"/>
  <c r="BS88" i="14"/>
  <c r="AN102" i="14"/>
  <c r="BI116" i="14"/>
  <c r="BH128" i="14"/>
  <c r="BH132" i="14" s="1"/>
  <c r="BS141" i="14"/>
  <c r="BN163" i="14"/>
  <c r="BT163" i="14" s="1"/>
  <c r="AY163" i="6" s="1"/>
  <c r="BT188" i="14"/>
  <c r="AV191" i="14"/>
  <c r="BN199" i="14"/>
  <c r="R207" i="14"/>
  <c r="BP216" i="14"/>
  <c r="BT213" i="14"/>
  <c r="AY213" i="6" s="1"/>
  <c r="BP207" i="14"/>
  <c r="AN216" i="14"/>
  <c r="AA216" i="6" s="1"/>
  <c r="BN93" i="14"/>
  <c r="BS112" i="14"/>
  <c r="X174" i="14"/>
  <c r="BQ207" i="14"/>
  <c r="BT198" i="14"/>
  <c r="D154" i="14"/>
  <c r="D129" i="14"/>
  <c r="R129" i="14"/>
  <c r="AS154" i="14"/>
  <c r="AS159" i="14" s="1"/>
  <c r="AS129" i="14"/>
  <c r="BF63" i="14"/>
  <c r="BF65" i="14" s="1"/>
  <c r="H80" i="14"/>
  <c r="AE128" i="14"/>
  <c r="H135" i="14"/>
  <c r="BN152" i="14"/>
  <c r="BL192" i="14"/>
  <c r="BL194" i="14" s="1"/>
  <c r="AS194" i="6" s="1"/>
  <c r="Z207" i="14"/>
  <c r="BT158" i="14"/>
  <c r="AF207" i="14"/>
  <c r="BT204" i="14"/>
  <c r="P216" i="14"/>
  <c r="AQ141" i="14"/>
  <c r="BP149" i="14"/>
  <c r="F7" i="7"/>
  <c r="F6" i="7"/>
  <c r="E6" i="3"/>
  <c r="F6" i="3" s="1"/>
  <c r="E11" i="3"/>
  <c r="F11" i="3" s="1"/>
  <c r="BN163" i="2"/>
  <c r="BT163" i="2" s="1"/>
  <c r="BW163" i="2" s="1"/>
  <c r="BO163" i="2"/>
  <c r="BP163" i="2"/>
  <c r="BQ163" i="2"/>
  <c r="BR163" i="2"/>
  <c r="BS163" i="2"/>
  <c r="BO164" i="2"/>
  <c r="BP164" i="2"/>
  <c r="BQ164" i="2"/>
  <c r="BR164" i="2"/>
  <c r="BS164" i="2"/>
  <c r="BN165" i="2"/>
  <c r="BT165" i="2" s="1"/>
  <c r="BW165" i="2" s="1"/>
  <c r="BO165" i="2"/>
  <c r="BP165" i="2"/>
  <c r="BQ165" i="2"/>
  <c r="BR165" i="2"/>
  <c r="BS165" i="2"/>
  <c r="BN166" i="2"/>
  <c r="BO166" i="2"/>
  <c r="BP166" i="2"/>
  <c r="BQ166" i="2"/>
  <c r="BR166" i="2"/>
  <c r="BS166" i="2"/>
  <c r="BN167" i="2"/>
  <c r="BO167" i="2"/>
  <c r="BP167" i="2"/>
  <c r="BQ167" i="2"/>
  <c r="BR167" i="2"/>
  <c r="BS167" i="2"/>
  <c r="BO168" i="2"/>
  <c r="BP168" i="2"/>
  <c r="BQ168" i="2"/>
  <c r="BR168" i="2"/>
  <c r="BS168" i="2"/>
  <c r="BN169" i="2"/>
  <c r="BO169" i="2"/>
  <c r="BP169" i="2"/>
  <c r="BQ169" i="2"/>
  <c r="BR169" i="2"/>
  <c r="BS169" i="2"/>
  <c r="BO170" i="2"/>
  <c r="BP170" i="2"/>
  <c r="BQ170" i="2"/>
  <c r="BR170" i="2"/>
  <c r="BS170" i="2"/>
  <c r="BO162" i="2"/>
  <c r="BP162" i="2"/>
  <c r="BQ162" i="2"/>
  <c r="BQ171" i="2" s="1"/>
  <c r="BR162" i="2"/>
  <c r="BS162" i="2"/>
  <c r="BN162" i="2"/>
  <c r="BN153" i="2"/>
  <c r="BP153" i="2"/>
  <c r="BQ153" i="2"/>
  <c r="BR153" i="2"/>
  <c r="BS153" i="2"/>
  <c r="BO154" i="2"/>
  <c r="BP154" i="2"/>
  <c r="BQ154" i="2"/>
  <c r="BQ159" i="2" s="1"/>
  <c r="BR154" i="2"/>
  <c r="BR159" i="2" s="1"/>
  <c r="BS154" i="2"/>
  <c r="BS159" i="2" s="1"/>
  <c r="BN155" i="2"/>
  <c r="BO155" i="2"/>
  <c r="BP155" i="2"/>
  <c r="BQ155" i="2"/>
  <c r="BR155" i="2"/>
  <c r="BS155" i="2"/>
  <c r="BT155" i="2" s="1"/>
  <c r="BW155" i="2" s="1"/>
  <c r="BO156" i="2"/>
  <c r="BP156" i="2"/>
  <c r="BQ156" i="2"/>
  <c r="BR156" i="2"/>
  <c r="BS156" i="2"/>
  <c r="BO157" i="2"/>
  <c r="BP157" i="2"/>
  <c r="BQ157" i="2"/>
  <c r="BR157" i="2"/>
  <c r="BS157" i="2"/>
  <c r="BN158" i="2"/>
  <c r="BO158" i="2"/>
  <c r="BP158" i="2"/>
  <c r="BQ158" i="2"/>
  <c r="BR158" i="2"/>
  <c r="BS158" i="2"/>
  <c r="BO152" i="2"/>
  <c r="BP152" i="2"/>
  <c r="BQ152" i="2"/>
  <c r="BR152" i="2"/>
  <c r="BS152" i="2"/>
  <c r="BN152" i="2"/>
  <c r="BO145" i="2"/>
  <c r="BP145" i="2"/>
  <c r="BQ145" i="2"/>
  <c r="BR145" i="2"/>
  <c r="BS145" i="2"/>
  <c r="BO146" i="2"/>
  <c r="BO149" i="2" s="1"/>
  <c r="BP146" i="2"/>
  <c r="BP149" i="2" s="1"/>
  <c r="BQ146" i="2"/>
  <c r="BQ149" i="2" s="1"/>
  <c r="BR146" i="2"/>
  <c r="BS146" i="2"/>
  <c r="BN147" i="2"/>
  <c r="BO147" i="2"/>
  <c r="BP147" i="2"/>
  <c r="BQ147" i="2"/>
  <c r="BR147" i="2"/>
  <c r="BS147" i="2"/>
  <c r="BO148" i="2"/>
  <c r="BP148" i="2"/>
  <c r="BQ148" i="2"/>
  <c r="BR148" i="2"/>
  <c r="BS148" i="2"/>
  <c r="BO144" i="2"/>
  <c r="BP144" i="2"/>
  <c r="BQ144" i="2"/>
  <c r="BR144" i="2"/>
  <c r="BS144" i="2"/>
  <c r="BN136" i="2"/>
  <c r="BO136" i="2"/>
  <c r="BP136" i="2"/>
  <c r="BQ136" i="2"/>
  <c r="BR136" i="2"/>
  <c r="BS136" i="2"/>
  <c r="BT136" i="2" s="1"/>
  <c r="BW136" i="2" s="1"/>
  <c r="BN137" i="2"/>
  <c r="BO137" i="2"/>
  <c r="BP137" i="2"/>
  <c r="BQ137" i="2"/>
  <c r="BR137" i="2"/>
  <c r="BS137" i="2"/>
  <c r="BO138" i="2"/>
  <c r="BP138" i="2"/>
  <c r="BQ138" i="2"/>
  <c r="BR138" i="2"/>
  <c r="BS138" i="2"/>
  <c r="BN139" i="2"/>
  <c r="BO139" i="2"/>
  <c r="BP139" i="2"/>
  <c r="BQ139" i="2"/>
  <c r="BR139" i="2"/>
  <c r="BS139" i="2"/>
  <c r="BN140" i="2"/>
  <c r="BO140" i="2"/>
  <c r="BP140" i="2"/>
  <c r="BQ140" i="2"/>
  <c r="BR140" i="2"/>
  <c r="BS140" i="2"/>
  <c r="BO135" i="2"/>
  <c r="BO141" i="2" s="1"/>
  <c r="BP135" i="2"/>
  <c r="BQ135" i="2"/>
  <c r="BR135" i="2"/>
  <c r="BS135" i="2"/>
  <c r="BN135" i="2"/>
  <c r="BS127" i="2"/>
  <c r="BO128" i="2"/>
  <c r="BP128" i="2"/>
  <c r="BQ128" i="2"/>
  <c r="BS128" i="2"/>
  <c r="BO129" i="2"/>
  <c r="BS129" i="2"/>
  <c r="BN130" i="2"/>
  <c r="BO130" i="2"/>
  <c r="BP130" i="2"/>
  <c r="BQ130" i="2"/>
  <c r="BR130" i="2"/>
  <c r="BS130" i="2"/>
  <c r="BN131" i="2"/>
  <c r="BO131" i="2"/>
  <c r="BP131" i="2"/>
  <c r="BQ131" i="2"/>
  <c r="BR131" i="2"/>
  <c r="BS131" i="2"/>
  <c r="BP126" i="2"/>
  <c r="BQ126" i="2"/>
  <c r="BS126" i="2"/>
  <c r="BN120" i="2"/>
  <c r="BO120" i="2"/>
  <c r="BP120" i="2"/>
  <c r="BQ120" i="2"/>
  <c r="BR120" i="2"/>
  <c r="BS120" i="2"/>
  <c r="BO121" i="2"/>
  <c r="BP121" i="2"/>
  <c r="BQ121" i="2"/>
  <c r="BR121" i="2"/>
  <c r="BS121" i="2"/>
  <c r="BN122" i="2"/>
  <c r="BO122" i="2"/>
  <c r="BP122" i="2"/>
  <c r="BQ122" i="2"/>
  <c r="BR122" i="2"/>
  <c r="BS122" i="2"/>
  <c r="BN123" i="2"/>
  <c r="BO123" i="2"/>
  <c r="BP123" i="2"/>
  <c r="BQ123" i="2"/>
  <c r="BR123" i="2"/>
  <c r="BS123" i="2"/>
  <c r="BT123" i="2" s="1"/>
  <c r="BW123" i="2" s="1"/>
  <c r="BN124" i="2"/>
  <c r="BO124" i="2"/>
  <c r="BP124" i="2"/>
  <c r="BQ124" i="2"/>
  <c r="BR124" i="2"/>
  <c r="BS124" i="2"/>
  <c r="BO119" i="2"/>
  <c r="BP119" i="2"/>
  <c r="BQ119" i="2"/>
  <c r="BR119" i="2"/>
  <c r="BS119" i="2"/>
  <c r="BN119" i="2"/>
  <c r="BQ111" i="2"/>
  <c r="BR111" i="2"/>
  <c r="BS111" i="2"/>
  <c r="BO112" i="2"/>
  <c r="BP112" i="2"/>
  <c r="BQ112" i="2"/>
  <c r="BS112" i="2"/>
  <c r="BN113" i="2"/>
  <c r="BO113" i="2"/>
  <c r="BP113" i="2"/>
  <c r="BQ113" i="2"/>
  <c r="BR113" i="2"/>
  <c r="BS113" i="2"/>
  <c r="BN114" i="2"/>
  <c r="BO114" i="2"/>
  <c r="BP114" i="2"/>
  <c r="BQ114" i="2"/>
  <c r="BR114" i="2"/>
  <c r="BS114" i="2"/>
  <c r="BN115" i="2"/>
  <c r="BT115" i="2" s="1"/>
  <c r="BW115" i="2" s="1"/>
  <c r="BO115" i="2"/>
  <c r="BP115" i="2"/>
  <c r="BQ115" i="2"/>
  <c r="BR115" i="2"/>
  <c r="BS115" i="2"/>
  <c r="BQ110" i="2"/>
  <c r="BR110" i="2"/>
  <c r="BS110" i="2"/>
  <c r="BN94" i="2"/>
  <c r="BO94" i="2"/>
  <c r="BP94" i="2"/>
  <c r="BQ94" i="2"/>
  <c r="BR94" i="2"/>
  <c r="BS94" i="2"/>
  <c r="BN95" i="2"/>
  <c r="BO95" i="2"/>
  <c r="BP95" i="2"/>
  <c r="BQ95" i="2"/>
  <c r="BR95" i="2"/>
  <c r="BS95" i="2"/>
  <c r="BN96" i="2"/>
  <c r="BO96" i="2"/>
  <c r="BP96" i="2"/>
  <c r="BQ96" i="2"/>
  <c r="BR96" i="2"/>
  <c r="BS96" i="2"/>
  <c r="BN97" i="2"/>
  <c r="BT97" i="2" s="1"/>
  <c r="BW97" i="2" s="1"/>
  <c r="BO97" i="2"/>
  <c r="BP97" i="2"/>
  <c r="BQ97" i="2"/>
  <c r="BR97" i="2"/>
  <c r="BS97" i="2"/>
  <c r="BN98" i="2"/>
  <c r="BO98" i="2"/>
  <c r="BP98" i="2"/>
  <c r="BQ98" i="2"/>
  <c r="BR98" i="2"/>
  <c r="BS98" i="2"/>
  <c r="BN99" i="2"/>
  <c r="BO99" i="2"/>
  <c r="BP99" i="2"/>
  <c r="BQ99" i="2"/>
  <c r="BR99" i="2"/>
  <c r="BS99" i="2"/>
  <c r="BN100" i="2"/>
  <c r="BO100" i="2"/>
  <c r="BP100" i="2"/>
  <c r="BQ100" i="2"/>
  <c r="BR100" i="2"/>
  <c r="BT100" i="2" s="1"/>
  <c r="BW100" i="2" s="1"/>
  <c r="BS100" i="2"/>
  <c r="BN101" i="2"/>
  <c r="BO101" i="2"/>
  <c r="BP101" i="2"/>
  <c r="BQ101" i="2"/>
  <c r="BR101" i="2"/>
  <c r="BS101" i="2"/>
  <c r="BN102" i="2"/>
  <c r="BO102" i="2"/>
  <c r="BP102" i="2"/>
  <c r="BQ102" i="2"/>
  <c r="BT102" i="2" s="1"/>
  <c r="BW102" i="2" s="1"/>
  <c r="BR102" i="2"/>
  <c r="BS102" i="2"/>
  <c r="BN103" i="2"/>
  <c r="BO103" i="2"/>
  <c r="BP103" i="2"/>
  <c r="BQ103" i="2"/>
  <c r="BR103" i="2"/>
  <c r="BS103" i="2"/>
  <c r="BN104" i="2"/>
  <c r="BO104" i="2"/>
  <c r="BP104" i="2"/>
  <c r="BQ104" i="2"/>
  <c r="BR104" i="2"/>
  <c r="BS104" i="2"/>
  <c r="BT104" i="2" s="1"/>
  <c r="BW104" i="2" s="1"/>
  <c r="BN105" i="2"/>
  <c r="BO105" i="2"/>
  <c r="BP105" i="2"/>
  <c r="BQ105" i="2"/>
  <c r="BR105" i="2"/>
  <c r="BS105" i="2"/>
  <c r="BN106" i="2"/>
  <c r="BO106" i="2"/>
  <c r="BP106" i="2"/>
  <c r="BQ106" i="2"/>
  <c r="BR106" i="2"/>
  <c r="BS106" i="2"/>
  <c r="BN107" i="2"/>
  <c r="BO107" i="2"/>
  <c r="BP107" i="2"/>
  <c r="BQ107" i="2"/>
  <c r="BR107" i="2"/>
  <c r="BS107" i="2"/>
  <c r="BN108" i="2"/>
  <c r="BO108" i="2"/>
  <c r="BP108" i="2"/>
  <c r="BQ108" i="2"/>
  <c r="BR108" i="2"/>
  <c r="BS108" i="2"/>
  <c r="BO93" i="2"/>
  <c r="BP93" i="2"/>
  <c r="BP109" i="2" s="1"/>
  <c r="BQ93" i="2"/>
  <c r="BQ109" i="2" s="1"/>
  <c r="BR93" i="2"/>
  <c r="BS93" i="2"/>
  <c r="BN93" i="2"/>
  <c r="BN86" i="2"/>
  <c r="BO86" i="2"/>
  <c r="BP86" i="2"/>
  <c r="BQ86" i="2"/>
  <c r="BR86" i="2"/>
  <c r="BS86" i="2"/>
  <c r="BN87" i="2"/>
  <c r="BN88" i="2" s="1"/>
  <c r="BO87" i="2"/>
  <c r="BP87" i="2"/>
  <c r="BQ87" i="2"/>
  <c r="BQ88" i="2" s="1"/>
  <c r="BR87" i="2"/>
  <c r="BR88" i="2" s="1"/>
  <c r="BS87" i="2"/>
  <c r="BO85" i="2"/>
  <c r="BP85" i="2"/>
  <c r="BQ85" i="2"/>
  <c r="BR85" i="2"/>
  <c r="BS85" i="2"/>
  <c r="BN85" i="2"/>
  <c r="J78" i="2"/>
  <c r="BN78" i="2" s="1"/>
  <c r="BN69" i="2"/>
  <c r="BO69" i="2"/>
  <c r="BP69" i="2"/>
  <c r="BQ69" i="2"/>
  <c r="BR69" i="2"/>
  <c r="BS69" i="2"/>
  <c r="BN70" i="2"/>
  <c r="BO70" i="2"/>
  <c r="BP70" i="2"/>
  <c r="BQ70" i="2"/>
  <c r="BR70" i="2"/>
  <c r="BS70" i="2"/>
  <c r="BN71" i="2"/>
  <c r="BO71" i="2"/>
  <c r="BP71" i="2"/>
  <c r="BT71" i="2" s="1"/>
  <c r="BW71" i="2" s="1"/>
  <c r="BQ71" i="2"/>
  <c r="BR71" i="2"/>
  <c r="BS71" i="2"/>
  <c r="BN72" i="2"/>
  <c r="BO72" i="2"/>
  <c r="BP72" i="2"/>
  <c r="BQ72" i="2"/>
  <c r="BR72" i="2"/>
  <c r="BS72" i="2"/>
  <c r="BT72" i="2" s="1"/>
  <c r="BW72" i="2" s="1"/>
  <c r="BN73" i="2"/>
  <c r="BO73" i="2"/>
  <c r="BP73" i="2"/>
  <c r="BQ73" i="2"/>
  <c r="BR73" i="2"/>
  <c r="BS73" i="2"/>
  <c r="BN74" i="2"/>
  <c r="BO74" i="2"/>
  <c r="BP74" i="2"/>
  <c r="BQ74" i="2"/>
  <c r="BR74" i="2"/>
  <c r="BS74" i="2"/>
  <c r="BN75" i="2"/>
  <c r="BT75" i="2" s="1"/>
  <c r="BW75" i="2" s="1"/>
  <c r="BO75" i="2"/>
  <c r="BP75" i="2"/>
  <c r="BQ75" i="2"/>
  <c r="BR75" i="2"/>
  <c r="BS75" i="2"/>
  <c r="BN76" i="2"/>
  <c r="BO76" i="2"/>
  <c r="BP76" i="2"/>
  <c r="BQ76" i="2"/>
  <c r="BR76" i="2"/>
  <c r="BS76" i="2"/>
  <c r="BN77" i="2"/>
  <c r="BO77" i="2"/>
  <c r="BP77" i="2"/>
  <c r="BQ77" i="2"/>
  <c r="BR77" i="2"/>
  <c r="BT77" i="2" s="1"/>
  <c r="BS77" i="2"/>
  <c r="BO78" i="2"/>
  <c r="BP78" i="2"/>
  <c r="BQ78" i="2"/>
  <c r="BR78" i="2"/>
  <c r="BS78" i="2"/>
  <c r="BN79" i="2"/>
  <c r="BO79" i="2"/>
  <c r="BP79" i="2"/>
  <c r="BQ79" i="2"/>
  <c r="BT79" i="2" s="1"/>
  <c r="BW79" i="2" s="1"/>
  <c r="BR79" i="2"/>
  <c r="BS79" i="2"/>
  <c r="BN80" i="2"/>
  <c r="BO80" i="2"/>
  <c r="BP80" i="2"/>
  <c r="BQ80" i="2"/>
  <c r="BR80" i="2"/>
  <c r="BS80" i="2"/>
  <c r="BN81" i="2"/>
  <c r="BO81" i="2"/>
  <c r="BP81" i="2"/>
  <c r="BQ81" i="2"/>
  <c r="BR81" i="2"/>
  <c r="BS81" i="2"/>
  <c r="BO68" i="2"/>
  <c r="BP68" i="2"/>
  <c r="BQ68" i="2"/>
  <c r="BR68" i="2"/>
  <c r="BS68" i="2"/>
  <c r="BN40" i="2"/>
  <c r="BO40" i="2"/>
  <c r="BP40" i="2"/>
  <c r="BQ40" i="2"/>
  <c r="BR40" i="2"/>
  <c r="BS40" i="2"/>
  <c r="BN41" i="2"/>
  <c r="BO41" i="2"/>
  <c r="BP41" i="2"/>
  <c r="BQ41" i="2"/>
  <c r="BR41" i="2"/>
  <c r="BS41" i="2"/>
  <c r="BN42" i="2"/>
  <c r="BO42" i="2"/>
  <c r="BP42" i="2"/>
  <c r="BQ42" i="2"/>
  <c r="BR42" i="2"/>
  <c r="BS42" i="2"/>
  <c r="BN43" i="2"/>
  <c r="BO43" i="2"/>
  <c r="BP43" i="2"/>
  <c r="BQ43" i="2"/>
  <c r="BR43" i="2"/>
  <c r="BS43" i="2"/>
  <c r="BN44" i="2"/>
  <c r="BO44" i="2"/>
  <c r="BP44" i="2"/>
  <c r="BT44" i="2" s="1"/>
  <c r="BW44" i="2" s="1"/>
  <c r="BQ44" i="2"/>
  <c r="BR44" i="2"/>
  <c r="BS44" i="2"/>
  <c r="BN45" i="2"/>
  <c r="BO45" i="2"/>
  <c r="BP45" i="2"/>
  <c r="BQ45" i="2"/>
  <c r="BR45" i="2"/>
  <c r="BS45" i="2"/>
  <c r="BT45" i="2" s="1"/>
  <c r="BW45" i="2" s="1"/>
  <c r="BN46" i="2"/>
  <c r="BO46" i="2"/>
  <c r="BT46" i="2" s="1"/>
  <c r="BW46" i="2" s="1"/>
  <c r="BP46" i="2"/>
  <c r="BQ46" i="2"/>
  <c r="BR46" i="2"/>
  <c r="BS46" i="2"/>
  <c r="BN47" i="2"/>
  <c r="BO47" i="2"/>
  <c r="BP47" i="2"/>
  <c r="BQ47" i="2"/>
  <c r="BR47" i="2"/>
  <c r="BS47" i="2"/>
  <c r="BN48" i="2"/>
  <c r="BT48" i="2" s="1"/>
  <c r="BW48" i="2" s="1"/>
  <c r="BO48" i="2"/>
  <c r="BP48" i="2"/>
  <c r="BQ48" i="2"/>
  <c r="BR48" i="2"/>
  <c r="BS48" i="2"/>
  <c r="BN49" i="2"/>
  <c r="BO49" i="2"/>
  <c r="BP49" i="2"/>
  <c r="BQ49" i="2"/>
  <c r="BR49" i="2"/>
  <c r="BS49" i="2"/>
  <c r="BN50" i="2"/>
  <c r="BT50" i="2" s="1"/>
  <c r="BW50" i="2" s="1"/>
  <c r="BO50" i="2"/>
  <c r="BP50" i="2"/>
  <c r="BQ50" i="2"/>
  <c r="BR50" i="2"/>
  <c r="BS50" i="2"/>
  <c r="BN51" i="2"/>
  <c r="BO51" i="2"/>
  <c r="BP51" i="2"/>
  <c r="BQ51" i="2"/>
  <c r="BR51" i="2"/>
  <c r="BS51" i="2"/>
  <c r="BN52" i="2"/>
  <c r="BO52" i="2"/>
  <c r="BP52" i="2"/>
  <c r="BQ52" i="2"/>
  <c r="BR52" i="2"/>
  <c r="BT52" i="2" s="1"/>
  <c r="BW52" i="2" s="1"/>
  <c r="BS52" i="2"/>
  <c r="BN53" i="2"/>
  <c r="BO53" i="2"/>
  <c r="BP53" i="2"/>
  <c r="BQ53" i="2"/>
  <c r="BR53" i="2"/>
  <c r="BS53" i="2"/>
  <c r="BN54" i="2"/>
  <c r="BO54" i="2"/>
  <c r="BP54" i="2"/>
  <c r="BQ54" i="2"/>
  <c r="BR54" i="2"/>
  <c r="BS54" i="2"/>
  <c r="BN55" i="2"/>
  <c r="BO55" i="2"/>
  <c r="BP55" i="2"/>
  <c r="BQ55" i="2"/>
  <c r="BR55" i="2"/>
  <c r="BS55" i="2"/>
  <c r="BN56" i="2"/>
  <c r="BT56" i="2" s="1"/>
  <c r="BW56" i="2" s="1"/>
  <c r="BO56" i="2"/>
  <c r="BP56" i="2"/>
  <c r="BQ56" i="2"/>
  <c r="BR56" i="2"/>
  <c r="BS56" i="2"/>
  <c r="BN57" i="2"/>
  <c r="BO57" i="2"/>
  <c r="BP57" i="2"/>
  <c r="BQ57" i="2"/>
  <c r="BR57" i="2"/>
  <c r="BS57" i="2"/>
  <c r="BT57" i="2" s="1"/>
  <c r="BW57" i="2" s="1"/>
  <c r="BN58" i="2"/>
  <c r="BT58" i="2" s="1"/>
  <c r="BW58" i="2" s="1"/>
  <c r="BO58" i="2"/>
  <c r="BP58" i="2"/>
  <c r="BQ58" i="2"/>
  <c r="BR58" i="2"/>
  <c r="BS58" i="2"/>
  <c r="BN59" i="2"/>
  <c r="BO59" i="2"/>
  <c r="BP59" i="2"/>
  <c r="BQ59" i="2"/>
  <c r="BR59" i="2"/>
  <c r="BS59" i="2"/>
  <c r="BN60" i="2"/>
  <c r="BT60" i="2" s="1"/>
  <c r="BW60" i="2" s="1"/>
  <c r="BO60" i="2"/>
  <c r="BP60" i="2"/>
  <c r="BQ60" i="2"/>
  <c r="BR60" i="2"/>
  <c r="BS60" i="2"/>
  <c r="BO39" i="2"/>
  <c r="BP39" i="2"/>
  <c r="BQ39" i="2"/>
  <c r="BR39" i="2"/>
  <c r="BS39" i="2"/>
  <c r="BN39" i="2"/>
  <c r="BN28" i="2"/>
  <c r="BO28" i="2"/>
  <c r="BP28" i="2"/>
  <c r="BQ28" i="2"/>
  <c r="BR28" i="2"/>
  <c r="BT28" i="2" s="1"/>
  <c r="BW28" i="2" s="1"/>
  <c r="BS28" i="2"/>
  <c r="BN29" i="2"/>
  <c r="BO29" i="2"/>
  <c r="BP29" i="2"/>
  <c r="BQ29" i="2"/>
  <c r="BR29" i="2"/>
  <c r="BS29" i="2"/>
  <c r="BN30" i="2"/>
  <c r="BO30" i="2"/>
  <c r="BP30" i="2"/>
  <c r="BQ30" i="2"/>
  <c r="BR30" i="2"/>
  <c r="BS30" i="2"/>
  <c r="BN31" i="2"/>
  <c r="BO31" i="2"/>
  <c r="BP31" i="2"/>
  <c r="BQ31" i="2"/>
  <c r="BR31" i="2"/>
  <c r="BS31" i="2"/>
  <c r="BN32" i="2"/>
  <c r="BT32" i="2" s="1"/>
  <c r="BW32" i="2" s="1"/>
  <c r="BO32" i="2"/>
  <c r="BP32" i="2"/>
  <c r="BQ32" i="2"/>
  <c r="BR32" i="2"/>
  <c r="BS32" i="2"/>
  <c r="BN33" i="2"/>
  <c r="BO33" i="2"/>
  <c r="BP33" i="2"/>
  <c r="BQ33" i="2"/>
  <c r="BR33" i="2"/>
  <c r="BS33" i="2"/>
  <c r="BT33" i="2" s="1"/>
  <c r="BW33" i="2" s="1"/>
  <c r="BN34" i="2"/>
  <c r="BO34" i="2"/>
  <c r="BP34" i="2"/>
  <c r="BQ34" i="2"/>
  <c r="BR34" i="2"/>
  <c r="BS34" i="2"/>
  <c r="BN35" i="2"/>
  <c r="BO35" i="2"/>
  <c r="BP35" i="2"/>
  <c r="BQ35" i="2"/>
  <c r="BR35" i="2"/>
  <c r="BS35" i="2"/>
  <c r="BO27" i="2"/>
  <c r="BP27" i="2"/>
  <c r="BQ27" i="2"/>
  <c r="BR27" i="2"/>
  <c r="BS27" i="2"/>
  <c r="BN27" i="2"/>
  <c r="BN22" i="2"/>
  <c r="BO22" i="2"/>
  <c r="BP22" i="2"/>
  <c r="BQ22" i="2"/>
  <c r="BT22" i="2" s="1"/>
  <c r="BW22" i="2" s="1"/>
  <c r="BR22" i="2"/>
  <c r="BS22" i="2"/>
  <c r="BN23" i="2"/>
  <c r="BO23" i="2"/>
  <c r="BP23" i="2"/>
  <c r="BQ23" i="2"/>
  <c r="BR23" i="2"/>
  <c r="BS23" i="2"/>
  <c r="BN24" i="2"/>
  <c r="BO24" i="2"/>
  <c r="BP24" i="2"/>
  <c r="BQ24" i="2"/>
  <c r="BT24" i="2" s="1"/>
  <c r="BW24" i="2" s="1"/>
  <c r="BR24" i="2"/>
  <c r="BS24" i="2"/>
  <c r="BN25" i="2"/>
  <c r="BO25" i="2"/>
  <c r="BQ25" i="2"/>
  <c r="BR25" i="2"/>
  <c r="BS25" i="2"/>
  <c r="BO21" i="2"/>
  <c r="BP21" i="2"/>
  <c r="BQ21" i="2"/>
  <c r="BR21" i="2"/>
  <c r="BS21" i="2"/>
  <c r="BN21" i="2"/>
  <c r="BT21" i="2" s="1"/>
  <c r="BW21" i="2" s="1"/>
  <c r="BN5" i="2"/>
  <c r="BW5" i="2" s="1"/>
  <c r="BN6" i="2"/>
  <c r="BW6" i="2" s="1"/>
  <c r="BN7" i="2"/>
  <c r="BW7" i="2" s="1"/>
  <c r="BN8" i="2"/>
  <c r="BW8" i="2" s="1"/>
  <c r="BN9" i="2"/>
  <c r="BW9" i="2" s="1"/>
  <c r="BN10" i="2"/>
  <c r="BW10" i="2" s="1"/>
  <c r="BN11" i="2"/>
  <c r="BW11" i="2" s="1"/>
  <c r="BN12" i="2"/>
  <c r="BW12" i="2" s="1"/>
  <c r="BN13" i="2"/>
  <c r="BW13" i="2" s="1"/>
  <c r="BN14" i="2"/>
  <c r="BW14" i="2" s="1"/>
  <c r="BN15" i="2"/>
  <c r="BW15" i="2" s="1"/>
  <c r="BN16" i="2"/>
  <c r="BW16" i="2" s="1"/>
  <c r="BN4" i="2"/>
  <c r="BW4" i="2" s="1"/>
  <c r="BT20" i="2"/>
  <c r="BS220" i="2"/>
  <c r="BR220" i="2"/>
  <c r="BQ220" i="2"/>
  <c r="BP220" i="2"/>
  <c r="BO220" i="2"/>
  <c r="BN220" i="2"/>
  <c r="BS216" i="2"/>
  <c r="BR216" i="2"/>
  <c r="BQ216" i="2"/>
  <c r="BP216" i="2"/>
  <c r="BO216" i="2"/>
  <c r="BN216" i="2"/>
  <c r="BT215" i="2"/>
  <c r="BW215" i="2" s="1"/>
  <c r="BT214" i="2"/>
  <c r="BT213" i="2"/>
  <c r="BT212" i="2"/>
  <c r="BS207" i="2"/>
  <c r="BR207" i="2"/>
  <c r="BQ207" i="2"/>
  <c r="BP207" i="2"/>
  <c r="BO207" i="2"/>
  <c r="BN207" i="2"/>
  <c r="BT206" i="2"/>
  <c r="BW206" i="2" s="1"/>
  <c r="BT205" i="2"/>
  <c r="BW205" i="2" s="1"/>
  <c r="BT204" i="2"/>
  <c r="BW204" i="2" s="1"/>
  <c r="BT203" i="2"/>
  <c r="BW203" i="2" s="1"/>
  <c r="BT202" i="2"/>
  <c r="BW202" i="2" s="1"/>
  <c r="BT201" i="2"/>
  <c r="BW201" i="2" s="1"/>
  <c r="BT200" i="2"/>
  <c r="BW200" i="2" s="1"/>
  <c r="BT199" i="2"/>
  <c r="BW199" i="2" s="1"/>
  <c r="BT198" i="2"/>
  <c r="BW198" i="2" s="1"/>
  <c r="BT197" i="2"/>
  <c r="BW197" i="2" s="1"/>
  <c r="BS194" i="2"/>
  <c r="BR194" i="2"/>
  <c r="BQ194" i="2"/>
  <c r="BO194" i="2"/>
  <c r="BT192" i="2"/>
  <c r="BW192" i="2" s="1"/>
  <c r="BT191" i="2"/>
  <c r="BW191" i="2" s="1"/>
  <c r="BT190" i="2"/>
  <c r="BW190" i="2" s="1"/>
  <c r="BT189" i="2"/>
  <c r="BW189" i="2" s="1"/>
  <c r="BT188" i="2"/>
  <c r="BW188" i="2" s="1"/>
  <c r="BT187" i="2"/>
  <c r="BW187" i="2" s="1"/>
  <c r="BT186" i="2"/>
  <c r="BW186" i="2" s="1"/>
  <c r="BT185" i="2"/>
  <c r="BT184" i="2"/>
  <c r="BW184" i="2" s="1"/>
  <c r="BT183" i="2"/>
  <c r="BW183" i="2" s="1"/>
  <c r="BT182" i="2"/>
  <c r="BW182" i="2" s="1"/>
  <c r="BT181" i="2"/>
  <c r="BW181" i="2" s="1"/>
  <c r="BT179" i="2"/>
  <c r="BW179" i="2" s="1"/>
  <c r="BT177" i="2"/>
  <c r="BW177" i="2" s="1"/>
  <c r="BT176" i="2"/>
  <c r="BW176" i="2" s="1"/>
  <c r="BT175" i="2"/>
  <c r="BW175" i="2" s="1"/>
  <c r="BT174" i="2"/>
  <c r="BW174" i="2" s="1"/>
  <c r="BT147" i="2"/>
  <c r="BW147" i="2" s="1"/>
  <c r="BT122" i="2"/>
  <c r="BW122" i="2" s="1"/>
  <c r="BT85" i="2"/>
  <c r="BW85" i="2" s="1"/>
  <c r="BS82" i="2"/>
  <c r="BQ67" i="2"/>
  <c r="BQ84" i="2" s="1"/>
  <c r="BQ91" i="2" s="1"/>
  <c r="BQ118" i="2" s="1"/>
  <c r="BQ134" i="2" s="1"/>
  <c r="BQ38" i="2"/>
  <c r="BO36" i="2"/>
  <c r="BT34" i="2"/>
  <c r="BW34" i="2" s="1"/>
  <c r="BQ26" i="2"/>
  <c r="BN2" i="2"/>
  <c r="BF76" i="2"/>
  <c r="BL76" i="2" s="1"/>
  <c r="BK129" i="2"/>
  <c r="BJ129" i="2"/>
  <c r="BR129" i="2" s="1"/>
  <c r="BI129" i="2"/>
  <c r="BH129" i="2"/>
  <c r="BG129" i="2"/>
  <c r="BF129" i="2"/>
  <c r="BK128" i="2"/>
  <c r="BJ128" i="2"/>
  <c r="BR128" i="2" s="1"/>
  <c r="BI128" i="2"/>
  <c r="BH128" i="2"/>
  <c r="BG128" i="2"/>
  <c r="BF128" i="2"/>
  <c r="BL128" i="2" s="1"/>
  <c r="AR128" i="6" s="1"/>
  <c r="BF113" i="2"/>
  <c r="BF112" i="2"/>
  <c r="BK113" i="2"/>
  <c r="BJ113" i="2"/>
  <c r="BL113" i="2" s="1"/>
  <c r="BI113" i="2"/>
  <c r="BH113" i="2"/>
  <c r="BG113" i="2"/>
  <c r="BK112" i="2"/>
  <c r="BJ112" i="2"/>
  <c r="BI112" i="2"/>
  <c r="BH112" i="2"/>
  <c r="BG112" i="2"/>
  <c r="BL112" i="2"/>
  <c r="BL119" i="2"/>
  <c r="AR119" i="6" s="1"/>
  <c r="BF94" i="2"/>
  <c r="BF98" i="2"/>
  <c r="BL196" i="2"/>
  <c r="BL173" i="2"/>
  <c r="BL161" i="2"/>
  <c r="BL151" i="2"/>
  <c r="BL143" i="2"/>
  <c r="BL134" i="2"/>
  <c r="BL118" i="2"/>
  <c r="BL91" i="2"/>
  <c r="BL84" i="2"/>
  <c r="BL67" i="2"/>
  <c r="BL38" i="2"/>
  <c r="BL26" i="2"/>
  <c r="BL20" i="2"/>
  <c r="BL220" i="2"/>
  <c r="BK220" i="2"/>
  <c r="BJ220" i="2"/>
  <c r="BI220" i="2"/>
  <c r="BH220" i="2"/>
  <c r="BG220" i="2"/>
  <c r="BF220" i="2"/>
  <c r="BK216" i="2"/>
  <c r="BJ216" i="2"/>
  <c r="BI216" i="2"/>
  <c r="BH216" i="2"/>
  <c r="BG216" i="2"/>
  <c r="BF216" i="2"/>
  <c r="BL215" i="2"/>
  <c r="BL214" i="2"/>
  <c r="BL213" i="2"/>
  <c r="BL212" i="2"/>
  <c r="BL216" i="2" s="1"/>
  <c r="BK207" i="2"/>
  <c r="BJ207" i="2"/>
  <c r="BI207" i="2"/>
  <c r="BH207" i="2"/>
  <c r="BG207" i="2"/>
  <c r="BF207" i="2"/>
  <c r="BL206" i="2"/>
  <c r="BL205" i="2"/>
  <c r="BL204" i="2"/>
  <c r="BL203" i="2"/>
  <c r="BL202" i="2"/>
  <c r="BL201" i="2"/>
  <c r="BL200" i="2"/>
  <c r="BL199" i="2"/>
  <c r="BL198" i="2"/>
  <c r="BL197" i="2"/>
  <c r="BL207" i="2" s="1"/>
  <c r="BK194" i="2"/>
  <c r="BI194" i="2"/>
  <c r="BH194" i="2"/>
  <c r="BG194" i="2"/>
  <c r="BF194" i="2"/>
  <c r="BL193" i="2"/>
  <c r="BJ192" i="2"/>
  <c r="BJ194" i="2" s="1"/>
  <c r="BL191" i="2"/>
  <c r="BL190" i="2"/>
  <c r="BL189" i="2"/>
  <c r="BL188" i="2"/>
  <c r="BL187" i="2"/>
  <c r="BL186" i="2"/>
  <c r="BL185" i="2"/>
  <c r="AR185" i="6" s="1"/>
  <c r="BL184" i="2"/>
  <c r="BL183" i="2"/>
  <c r="BL182" i="2"/>
  <c r="BL181" i="2"/>
  <c r="BL180" i="2"/>
  <c r="BL179" i="2"/>
  <c r="BL178" i="2"/>
  <c r="BL177" i="2"/>
  <c r="BL176" i="2"/>
  <c r="BL175" i="2"/>
  <c r="BL174" i="2"/>
  <c r="BK171" i="2"/>
  <c r="BJ171" i="2"/>
  <c r="BI171" i="2"/>
  <c r="BH171" i="2"/>
  <c r="BG171" i="2"/>
  <c r="BF171" i="2"/>
  <c r="BL170" i="2"/>
  <c r="BL169" i="2"/>
  <c r="BL168" i="2"/>
  <c r="BL167" i="2"/>
  <c r="BL166" i="2"/>
  <c r="BL165" i="2"/>
  <c r="BL164" i="2"/>
  <c r="BL163" i="2"/>
  <c r="BL162" i="2"/>
  <c r="BL171" i="2" s="1"/>
  <c r="BK159" i="2"/>
  <c r="BJ159" i="2"/>
  <c r="BI159" i="2"/>
  <c r="BH159" i="2"/>
  <c r="BG159" i="2"/>
  <c r="BF159" i="2"/>
  <c r="BL158" i="2"/>
  <c r="BL157" i="2"/>
  <c r="BL156" i="2"/>
  <c r="BL155" i="2"/>
  <c r="BL154" i="2"/>
  <c r="BL153" i="2"/>
  <c r="BL159" i="2" s="1"/>
  <c r="BL152" i="2"/>
  <c r="BK149" i="2"/>
  <c r="BJ149" i="2"/>
  <c r="BI149" i="2"/>
  <c r="BH149" i="2"/>
  <c r="BG149" i="2"/>
  <c r="BF148" i="2"/>
  <c r="BL148" i="2" s="1"/>
  <c r="BL147" i="2"/>
  <c r="BL144" i="2"/>
  <c r="BK141" i="2"/>
  <c r="BJ141" i="2"/>
  <c r="BI141" i="2"/>
  <c r="BH141" i="2"/>
  <c r="BG141" i="2"/>
  <c r="BG140" i="2"/>
  <c r="BL140" i="2" s="1"/>
  <c r="BL137" i="2"/>
  <c r="BL136" i="2"/>
  <c r="BL135" i="2"/>
  <c r="BL131" i="2"/>
  <c r="BL130" i="2"/>
  <c r="BJ126" i="2"/>
  <c r="BI126" i="2"/>
  <c r="BH126" i="2"/>
  <c r="BG126" i="2"/>
  <c r="BJ125" i="2"/>
  <c r="BJ127" i="2" s="1"/>
  <c r="BI125" i="2"/>
  <c r="BI127" i="2" s="1"/>
  <c r="BH125" i="2"/>
  <c r="BH127" i="2" s="1"/>
  <c r="BG125" i="2"/>
  <c r="BG127" i="2" s="1"/>
  <c r="BF125" i="2"/>
  <c r="BF127" i="2" s="1"/>
  <c r="BL124" i="2"/>
  <c r="BK123" i="2"/>
  <c r="BK125" i="2" s="1"/>
  <c r="BK126" i="2" s="1"/>
  <c r="BL122" i="2"/>
  <c r="BL121" i="2"/>
  <c r="BF121" i="2"/>
  <c r="BL120" i="2"/>
  <c r="BL115" i="2"/>
  <c r="BL114" i="2"/>
  <c r="BH111" i="2"/>
  <c r="BG111" i="2"/>
  <c r="BK109" i="2"/>
  <c r="BK110" i="2" s="1"/>
  <c r="BJ109" i="2"/>
  <c r="BI109" i="2"/>
  <c r="BH109" i="2"/>
  <c r="BH110" i="2" s="1"/>
  <c r="BH116" i="2" s="1"/>
  <c r="BG109" i="2"/>
  <c r="BG110" i="2" s="1"/>
  <c r="BL108" i="2"/>
  <c r="BL107" i="2"/>
  <c r="BL106" i="2"/>
  <c r="BL105" i="2"/>
  <c r="BL104" i="2"/>
  <c r="BL103" i="2"/>
  <c r="BH102" i="2"/>
  <c r="BL102" i="2" s="1"/>
  <c r="BL101" i="2"/>
  <c r="BL100" i="2"/>
  <c r="BL99" i="2"/>
  <c r="BF99" i="2"/>
  <c r="BL98" i="2"/>
  <c r="BL97" i="2"/>
  <c r="BL96" i="2"/>
  <c r="BL95" i="2"/>
  <c r="BL93" i="2"/>
  <c r="BL88" i="2"/>
  <c r="BK88" i="2"/>
  <c r="BJ88" i="2"/>
  <c r="BI88" i="2"/>
  <c r="BH88" i="2"/>
  <c r="BG88" i="2"/>
  <c r="BF88" i="2"/>
  <c r="BL87" i="2"/>
  <c r="BL86" i="2"/>
  <c r="BL85" i="2"/>
  <c r="BI84" i="2"/>
  <c r="BI91" i="2" s="1"/>
  <c r="BI118" i="2" s="1"/>
  <c r="BI134" i="2" s="1"/>
  <c r="BK82" i="2"/>
  <c r="BJ82" i="2"/>
  <c r="BI82" i="2"/>
  <c r="BH82" i="2"/>
  <c r="BG82" i="2"/>
  <c r="BL81" i="2"/>
  <c r="BL80" i="2"/>
  <c r="BL79" i="2"/>
  <c r="BL78" i="2"/>
  <c r="BL77" i="2"/>
  <c r="AR77" i="6" s="1"/>
  <c r="BL75" i="2"/>
  <c r="BL74" i="2"/>
  <c r="BL73" i="2"/>
  <c r="BL71" i="2"/>
  <c r="BL70" i="2"/>
  <c r="BL69" i="2"/>
  <c r="BL68" i="2"/>
  <c r="BI67" i="2"/>
  <c r="BK65" i="2"/>
  <c r="BK63" i="2"/>
  <c r="BJ63" i="2"/>
  <c r="BJ65" i="2" s="1"/>
  <c r="BK61" i="2"/>
  <c r="BK64" i="2" s="1"/>
  <c r="BJ61" i="2"/>
  <c r="BJ64" i="2" s="1"/>
  <c r="BI61" i="2"/>
  <c r="BI64" i="2" s="1"/>
  <c r="BH61" i="2"/>
  <c r="BH64" i="2" s="1"/>
  <c r="BG61" i="2"/>
  <c r="BG64" i="2" s="1"/>
  <c r="BF61" i="2"/>
  <c r="BF64" i="2" s="1"/>
  <c r="BL60" i="2"/>
  <c r="BL59" i="2"/>
  <c r="BL58" i="2"/>
  <c r="BL57" i="2"/>
  <c r="BL56" i="2"/>
  <c r="BL55" i="2"/>
  <c r="BL54" i="2"/>
  <c r="BL53" i="2"/>
  <c r="BL52" i="2"/>
  <c r="BL51" i="2"/>
  <c r="BL50" i="2"/>
  <c r="BL49" i="2"/>
  <c r="BL48" i="2"/>
  <c r="BL47" i="2"/>
  <c r="BL46" i="2"/>
  <c r="BL45" i="2"/>
  <c r="BL44" i="2"/>
  <c r="BL43" i="2"/>
  <c r="AR43" i="6" s="1"/>
  <c r="BL42" i="2"/>
  <c r="BL41" i="2"/>
  <c r="BL40" i="2"/>
  <c r="BL39" i="2"/>
  <c r="BI38" i="2"/>
  <c r="BK36" i="2"/>
  <c r="BJ36" i="2"/>
  <c r="BI36" i="2"/>
  <c r="BI63" i="2" s="1"/>
  <c r="BI65" i="2" s="1"/>
  <c r="BH36" i="2"/>
  <c r="BH63" i="2" s="1"/>
  <c r="BH65" i="2" s="1"/>
  <c r="BG36" i="2"/>
  <c r="BG63" i="2" s="1"/>
  <c r="BF36" i="2"/>
  <c r="BF63" i="2" s="1"/>
  <c r="BL35" i="2"/>
  <c r="BL34" i="2"/>
  <c r="BL33" i="2"/>
  <c r="BL32" i="2"/>
  <c r="BL31" i="2"/>
  <c r="BL30" i="2"/>
  <c r="BL36" i="2" s="1"/>
  <c r="BL63" i="2" s="1"/>
  <c r="BL29" i="2"/>
  <c r="BL28" i="2"/>
  <c r="BL27" i="2"/>
  <c r="BI26" i="2"/>
  <c r="BL24" i="2"/>
  <c r="BL23" i="2"/>
  <c r="BL22" i="2"/>
  <c r="BL21" i="2"/>
  <c r="BF17" i="2"/>
  <c r="BF146" i="2" s="1"/>
  <c r="BL146" i="2" s="1"/>
  <c r="BF3" i="2"/>
  <c r="BF2" i="2"/>
  <c r="AP112" i="2"/>
  <c r="AH113" i="2"/>
  <c r="AH112" i="2"/>
  <c r="Z113" i="2"/>
  <c r="Z112" i="2"/>
  <c r="R113" i="2"/>
  <c r="R112" i="2"/>
  <c r="J113" i="2"/>
  <c r="K128" i="2"/>
  <c r="K112" i="2"/>
  <c r="J112" i="2"/>
  <c r="AX113" i="2"/>
  <c r="AX112" i="2"/>
  <c r="BC113" i="2"/>
  <c r="BB113" i="2"/>
  <c r="BA113" i="2"/>
  <c r="BD113" i="2" s="1"/>
  <c r="AZ113" i="2"/>
  <c r="AY113" i="2"/>
  <c r="BC112" i="2"/>
  <c r="BB112" i="2"/>
  <c r="BA112" i="2"/>
  <c r="AZ112" i="2"/>
  <c r="AY112" i="2"/>
  <c r="BD112" i="2"/>
  <c r="BC129" i="2"/>
  <c r="BB129" i="2"/>
  <c r="BA129" i="2"/>
  <c r="AZ129" i="2"/>
  <c r="AY129" i="2"/>
  <c r="AX129" i="2"/>
  <c r="BC128" i="2"/>
  <c r="BB128" i="2"/>
  <c r="BA128" i="2"/>
  <c r="AZ128" i="2"/>
  <c r="AY128" i="2"/>
  <c r="AX128" i="2"/>
  <c r="BD128" i="2" s="1"/>
  <c r="AX123" i="2"/>
  <c r="BD123" i="2"/>
  <c r="AY74" i="2"/>
  <c r="BD196" i="2"/>
  <c r="BD173" i="2"/>
  <c r="BD161" i="2"/>
  <c r="BD151" i="2"/>
  <c r="BD143" i="2"/>
  <c r="BD134" i="2"/>
  <c r="BD118" i="2"/>
  <c r="BD91" i="2"/>
  <c r="BD84" i="2"/>
  <c r="BD67" i="2"/>
  <c r="BD38" i="2"/>
  <c r="BD26" i="2"/>
  <c r="BD220" i="2"/>
  <c r="BC220" i="2"/>
  <c r="BB220" i="2"/>
  <c r="BA220" i="2"/>
  <c r="AZ220" i="2"/>
  <c r="AY220" i="2"/>
  <c r="AX220" i="2"/>
  <c r="BC216" i="2"/>
  <c r="BB216" i="2"/>
  <c r="BA216" i="2"/>
  <c r="AZ216" i="2"/>
  <c r="AY216" i="2"/>
  <c r="AX216" i="2"/>
  <c r="BD215" i="2"/>
  <c r="BD214" i="2"/>
  <c r="BD213" i="2"/>
  <c r="BD216" i="2" s="1"/>
  <c r="BD212" i="2"/>
  <c r="BC207" i="2"/>
  <c r="BB207" i="2"/>
  <c r="BA207" i="2"/>
  <c r="AZ207" i="2"/>
  <c r="AY207" i="2"/>
  <c r="AX207" i="2"/>
  <c r="BD206" i="2"/>
  <c r="BD205" i="2"/>
  <c r="BD204" i="2"/>
  <c r="BD203" i="2"/>
  <c r="BD202" i="2"/>
  <c r="BD201" i="2"/>
  <c r="BD200" i="2"/>
  <c r="BD199" i="2"/>
  <c r="BD198" i="2"/>
  <c r="BD197" i="2"/>
  <c r="BD207" i="2" s="1"/>
  <c r="BC194" i="2"/>
  <c r="BB194" i="2"/>
  <c r="BA194" i="2"/>
  <c r="AZ194" i="2"/>
  <c r="AY194" i="2"/>
  <c r="BD192" i="2"/>
  <c r="BC191" i="2"/>
  <c r="BD191" i="2" s="1"/>
  <c r="BD190" i="2"/>
  <c r="BD189" i="2"/>
  <c r="BD188" i="2"/>
  <c r="BD187" i="2"/>
  <c r="BD186" i="2"/>
  <c r="AX185" i="2"/>
  <c r="BD185" i="2" s="1"/>
  <c r="BD184" i="2"/>
  <c r="BD183" i="2"/>
  <c r="BD182" i="2"/>
  <c r="BD181" i="2"/>
  <c r="BD180" i="2"/>
  <c r="BD179" i="2"/>
  <c r="BD177" i="2"/>
  <c r="BD176" i="2"/>
  <c r="BD175" i="2"/>
  <c r="BD174" i="2"/>
  <c r="BC171" i="2"/>
  <c r="BB171" i="2"/>
  <c r="BA171" i="2"/>
  <c r="AZ171" i="2"/>
  <c r="AY171" i="2"/>
  <c r="BD169" i="2"/>
  <c r="BD167" i="2"/>
  <c r="BD166" i="2"/>
  <c r="BD165" i="2"/>
  <c r="BD162" i="2"/>
  <c r="BD158" i="2"/>
  <c r="BC154" i="2"/>
  <c r="BC159" i="2" s="1"/>
  <c r="BB154" i="2"/>
  <c r="BB159" i="2" s="1"/>
  <c r="AX152" i="2"/>
  <c r="BD152" i="2" s="1"/>
  <c r="BC149" i="2"/>
  <c r="BB149" i="2"/>
  <c r="BA149" i="2"/>
  <c r="AZ149" i="2"/>
  <c r="AY149" i="2"/>
  <c r="BD148" i="2"/>
  <c r="BD147" i="2"/>
  <c r="BD146" i="2"/>
  <c r="AX144" i="2"/>
  <c r="BC141" i="2"/>
  <c r="BB141" i="2"/>
  <c r="BA141" i="2"/>
  <c r="AZ141" i="2"/>
  <c r="AY140" i="2"/>
  <c r="AY141" i="2" s="1"/>
  <c r="BD139" i="2"/>
  <c r="AX138" i="2"/>
  <c r="BD138" i="2" s="1"/>
  <c r="BD137" i="2"/>
  <c r="BD136" i="2"/>
  <c r="AX135" i="2"/>
  <c r="BD135" i="2" s="1"/>
  <c r="BD131" i="2"/>
  <c r="BD129" i="2"/>
  <c r="BC126" i="2"/>
  <c r="BC125" i="2"/>
  <c r="BB125" i="2"/>
  <c r="BB126" i="2" s="1"/>
  <c r="BA125" i="2"/>
  <c r="BA126" i="2" s="1"/>
  <c r="AZ125" i="2"/>
  <c r="AZ126" i="2" s="1"/>
  <c r="AX124" i="2"/>
  <c r="BD124" i="2" s="1"/>
  <c r="BC123" i="2"/>
  <c r="AY123" i="2"/>
  <c r="AY125" i="2"/>
  <c r="AY126" i="2" s="1"/>
  <c r="AX121" i="2"/>
  <c r="BD121" i="2" s="1"/>
  <c r="BD120" i="2"/>
  <c r="BD119" i="2"/>
  <c r="BD115" i="2"/>
  <c r="BD114" i="2"/>
  <c r="BC110" i="2"/>
  <c r="BB110" i="2"/>
  <c r="BA110" i="2"/>
  <c r="BC109" i="2"/>
  <c r="BB109" i="2"/>
  <c r="BA109" i="2"/>
  <c r="AZ109" i="2"/>
  <c r="AZ110" i="2" s="1"/>
  <c r="AZ116" i="2" s="1"/>
  <c r="AY109" i="2"/>
  <c r="AY110" i="2" s="1"/>
  <c r="AX109" i="2"/>
  <c r="AX110" i="2" s="1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109" i="2" s="1"/>
  <c r="BC88" i="2"/>
  <c r="BB88" i="2"/>
  <c r="BA88" i="2"/>
  <c r="AZ88" i="2"/>
  <c r="AY88" i="2"/>
  <c r="AX88" i="2"/>
  <c r="BD87" i="2"/>
  <c r="BD86" i="2"/>
  <c r="BD85" i="2"/>
  <c r="BD88" i="2" s="1"/>
  <c r="BA84" i="2"/>
  <c r="BA91" i="2" s="1"/>
  <c r="BA118" i="2" s="1"/>
  <c r="BA134" i="2" s="1"/>
  <c r="BC82" i="2"/>
  <c r="BB82" i="2"/>
  <c r="BA82" i="2"/>
  <c r="AZ82" i="2"/>
  <c r="AY82" i="2"/>
  <c r="BD81" i="2"/>
  <c r="BD80" i="2"/>
  <c r="BD79" i="2"/>
  <c r="BD78" i="2"/>
  <c r="BD77" i="2"/>
  <c r="BD76" i="2"/>
  <c r="BD75" i="2"/>
  <c r="BD74" i="2"/>
  <c r="BD73" i="2"/>
  <c r="BD72" i="2"/>
  <c r="AX71" i="2"/>
  <c r="BD71" i="2" s="1"/>
  <c r="AX70" i="2"/>
  <c r="BD70" i="2" s="1"/>
  <c r="AX69" i="2"/>
  <c r="BD69" i="2" s="1"/>
  <c r="BA67" i="2"/>
  <c r="BC64" i="2"/>
  <c r="BC111" i="2" s="1"/>
  <c r="BB63" i="2"/>
  <c r="BB127" i="2" s="1"/>
  <c r="AX63" i="2"/>
  <c r="BC61" i="2"/>
  <c r="BB61" i="2"/>
  <c r="BB64" i="2" s="1"/>
  <c r="BB111" i="2" s="1"/>
  <c r="BA61" i="2"/>
  <c r="BA64" i="2" s="1"/>
  <c r="BA111" i="2" s="1"/>
  <c r="AZ61" i="2"/>
  <c r="AZ64" i="2" s="1"/>
  <c r="AZ111" i="2" s="1"/>
  <c r="AY61" i="2"/>
  <c r="AY64" i="2" s="1"/>
  <c r="AY111" i="2" s="1"/>
  <c r="AX61" i="2"/>
  <c r="AX64" i="2" s="1"/>
  <c r="AX111" i="2" s="1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61" i="2" s="1"/>
  <c r="BD64" i="2" s="1"/>
  <c r="BA38" i="2"/>
  <c r="BC36" i="2"/>
  <c r="BC63" i="2" s="1"/>
  <c r="BB36" i="2"/>
  <c r="BA36" i="2"/>
  <c r="BA154" i="2" s="1"/>
  <c r="BA159" i="2" s="1"/>
  <c r="AZ36" i="2"/>
  <c r="AZ154" i="2" s="1"/>
  <c r="AZ159" i="2" s="1"/>
  <c r="AY36" i="2"/>
  <c r="AY154" i="2" s="1"/>
  <c r="AX36" i="2"/>
  <c r="BD35" i="2"/>
  <c r="BD34" i="2"/>
  <c r="BD33" i="2"/>
  <c r="BD32" i="2"/>
  <c r="BD31" i="2"/>
  <c r="BD30" i="2"/>
  <c r="BD29" i="2"/>
  <c r="BD36" i="2" s="1"/>
  <c r="BD63" i="2" s="1"/>
  <c r="BD65" i="2" s="1"/>
  <c r="BD28" i="2"/>
  <c r="BD27" i="2"/>
  <c r="BA26" i="2"/>
  <c r="BD25" i="2"/>
  <c r="BD24" i="2"/>
  <c r="BD23" i="2"/>
  <c r="BD22" i="2"/>
  <c r="BD21" i="2"/>
  <c r="AY17" i="2"/>
  <c r="AX17" i="2"/>
  <c r="AX164" i="2" s="1"/>
  <c r="BD164" i="2" s="1"/>
  <c r="AX3" i="2"/>
  <c r="AX2" i="2"/>
  <c r="AQ153" i="2"/>
  <c r="AR180" i="2"/>
  <c r="AR181" i="2"/>
  <c r="AP121" i="2"/>
  <c r="AP99" i="2"/>
  <c r="AP98" i="2"/>
  <c r="R193" i="2"/>
  <c r="AU129" i="2"/>
  <c r="AT129" i="2"/>
  <c r="AS129" i="2"/>
  <c r="AR129" i="2"/>
  <c r="AU128" i="2"/>
  <c r="AT128" i="2"/>
  <c r="AS128" i="2"/>
  <c r="AR128" i="2"/>
  <c r="AM129" i="2"/>
  <c r="AL129" i="2"/>
  <c r="AK129" i="2"/>
  <c r="AJ129" i="2"/>
  <c r="AI129" i="2"/>
  <c r="AH129" i="2"/>
  <c r="AM128" i="2"/>
  <c r="AL128" i="2"/>
  <c r="AK128" i="2"/>
  <c r="AJ128" i="2"/>
  <c r="AI128" i="2"/>
  <c r="AH128" i="2"/>
  <c r="AE129" i="2"/>
  <c r="AD129" i="2"/>
  <c r="AC129" i="2"/>
  <c r="AB129" i="2"/>
  <c r="AA129" i="2"/>
  <c r="Z129" i="2"/>
  <c r="AE128" i="2"/>
  <c r="AD128" i="2"/>
  <c r="AC128" i="2"/>
  <c r="AB128" i="2"/>
  <c r="AA128" i="2"/>
  <c r="Z128" i="2"/>
  <c r="W129" i="2"/>
  <c r="V129" i="2"/>
  <c r="U129" i="2"/>
  <c r="T129" i="2"/>
  <c r="S129" i="2"/>
  <c r="R129" i="2"/>
  <c r="W128" i="2"/>
  <c r="V128" i="2"/>
  <c r="U128" i="2"/>
  <c r="T128" i="2"/>
  <c r="S128" i="2"/>
  <c r="R128" i="2"/>
  <c r="O129" i="2"/>
  <c r="N129" i="2"/>
  <c r="M129" i="2"/>
  <c r="L129" i="2"/>
  <c r="K129" i="2"/>
  <c r="J129" i="2"/>
  <c r="O128" i="2"/>
  <c r="N128" i="2"/>
  <c r="M128" i="2"/>
  <c r="L128" i="2"/>
  <c r="J128" i="2"/>
  <c r="AU113" i="2"/>
  <c r="AT113" i="2"/>
  <c r="AS113" i="2"/>
  <c r="AR113" i="2"/>
  <c r="AQ113" i="2"/>
  <c r="AP113" i="2"/>
  <c r="AU112" i="2"/>
  <c r="AT112" i="2"/>
  <c r="AS112" i="2"/>
  <c r="AR112" i="2"/>
  <c r="AQ112" i="2"/>
  <c r="AM113" i="2"/>
  <c r="AL113" i="2"/>
  <c r="AK113" i="2"/>
  <c r="AJ113" i="2"/>
  <c r="AI113" i="2"/>
  <c r="AM112" i="2"/>
  <c r="AL112" i="2"/>
  <c r="AK112" i="2"/>
  <c r="AJ112" i="2"/>
  <c r="AI112" i="2"/>
  <c r="AE113" i="2"/>
  <c r="AD113" i="2"/>
  <c r="AC113" i="2"/>
  <c r="AB113" i="2"/>
  <c r="AA113" i="2"/>
  <c r="AE112" i="2"/>
  <c r="AD112" i="2"/>
  <c r="AC112" i="2"/>
  <c r="AB112" i="2"/>
  <c r="AA112" i="2"/>
  <c r="W113" i="2"/>
  <c r="V113" i="2"/>
  <c r="U113" i="2"/>
  <c r="T113" i="2"/>
  <c r="S113" i="2"/>
  <c r="W112" i="2"/>
  <c r="V112" i="2"/>
  <c r="U112" i="2"/>
  <c r="T112" i="2"/>
  <c r="S112" i="2"/>
  <c r="O113" i="2"/>
  <c r="N113" i="2"/>
  <c r="M113" i="2"/>
  <c r="L113" i="2"/>
  <c r="K113" i="2"/>
  <c r="O112" i="2"/>
  <c r="N112" i="2"/>
  <c r="M112" i="2"/>
  <c r="L112" i="2"/>
  <c r="BN112" i="2"/>
  <c r="AT127" i="2"/>
  <c r="AQ74" i="2"/>
  <c r="AV196" i="2"/>
  <c r="AV173" i="2"/>
  <c r="AV161" i="2"/>
  <c r="AV151" i="2"/>
  <c r="AV143" i="2"/>
  <c r="AV134" i="2"/>
  <c r="AV118" i="2"/>
  <c r="AV91" i="2"/>
  <c r="AV84" i="2"/>
  <c r="AV67" i="2"/>
  <c r="AV38" i="2"/>
  <c r="AV26" i="2"/>
  <c r="BD116" i="14" l="1"/>
  <c r="AM116" i="6" s="1"/>
  <c r="AM111" i="6"/>
  <c r="BD64" i="14"/>
  <c r="AM64" i="6" s="1"/>
  <c r="AM61" i="6"/>
  <c r="AX127" i="14"/>
  <c r="BL129" i="2"/>
  <c r="AR129" i="6" s="1"/>
  <c r="BW77" i="2"/>
  <c r="AX77" i="6"/>
  <c r="D11" i="1" s="1"/>
  <c r="BL82" i="14"/>
  <c r="AS82" i="6" s="1"/>
  <c r="BJ132" i="14"/>
  <c r="BL64" i="14"/>
  <c r="AS64" i="6" s="1"/>
  <c r="AS61" i="6"/>
  <c r="AG17" i="6"/>
  <c r="AP185" i="14"/>
  <c r="AQ153" i="14"/>
  <c r="AP164" i="14"/>
  <c r="AP178" i="14"/>
  <c r="AP168" i="14"/>
  <c r="AV168" i="14" s="1"/>
  <c r="AG168" i="6" s="1"/>
  <c r="BW214" i="2"/>
  <c r="AX214" i="6"/>
  <c r="BW213" i="2"/>
  <c r="AX213" i="6"/>
  <c r="BW212" i="2"/>
  <c r="AX212" i="6"/>
  <c r="BW185" i="2"/>
  <c r="AX185" i="6"/>
  <c r="BK209" i="14"/>
  <c r="BK218" i="14" s="1"/>
  <c r="BH209" i="14"/>
  <c r="BH218" i="14" s="1"/>
  <c r="AP110" i="14"/>
  <c r="AV110" i="14" s="1"/>
  <c r="AP111" i="14"/>
  <c r="AV109" i="14"/>
  <c r="BN61" i="14"/>
  <c r="BN64" i="14" s="1"/>
  <c r="AH111" i="14"/>
  <c r="BN112" i="14"/>
  <c r="BT112" i="14" s="1"/>
  <c r="AH116" i="14"/>
  <c r="BT74" i="14"/>
  <c r="AN148" i="14"/>
  <c r="AN145" i="14"/>
  <c r="AH68" i="14"/>
  <c r="AH156" i="14" s="1"/>
  <c r="AN156" i="14" s="1"/>
  <c r="AI159" i="14"/>
  <c r="AN146" i="14"/>
  <c r="BO141" i="14"/>
  <c r="BT123" i="14"/>
  <c r="AY123" i="6" s="1"/>
  <c r="AN65" i="14"/>
  <c r="BJ209" i="14"/>
  <c r="BJ218" i="14" s="1"/>
  <c r="BL128" i="14"/>
  <c r="AS128" i="6" s="1"/>
  <c r="BG209" i="14"/>
  <c r="BG218" i="14" s="1"/>
  <c r="BP128" i="14"/>
  <c r="AN128" i="14"/>
  <c r="H109" i="14"/>
  <c r="AV65" i="14"/>
  <c r="AF128" i="14"/>
  <c r="BO129" i="14"/>
  <c r="BL65" i="14"/>
  <c r="AS65" i="6" s="1"/>
  <c r="BQ110" i="14"/>
  <c r="BQ116" i="14" s="1"/>
  <c r="BD125" i="14"/>
  <c r="AM125" i="6" s="1"/>
  <c r="C65" i="14"/>
  <c r="W132" i="14"/>
  <c r="W209" i="14" s="1"/>
  <c r="W218" i="14" s="1"/>
  <c r="AT132" i="14"/>
  <c r="AT209" i="14" s="1"/>
  <c r="AT218" i="14" s="1"/>
  <c r="H65" i="14"/>
  <c r="BD141" i="14"/>
  <c r="AM141" i="6" s="1"/>
  <c r="AJ132" i="14"/>
  <c r="AJ209" i="14" s="1"/>
  <c r="AJ218" i="14" s="1"/>
  <c r="B168" i="14"/>
  <c r="H168" i="14" s="1"/>
  <c r="C17" i="14"/>
  <c r="B178" i="14"/>
  <c r="BG116" i="14"/>
  <c r="R164" i="14"/>
  <c r="R138" i="14"/>
  <c r="R178" i="14"/>
  <c r="S153" i="14"/>
  <c r="R148" i="14"/>
  <c r="X148" i="14" s="1"/>
  <c r="R168" i="14"/>
  <c r="X168" i="14" s="1"/>
  <c r="R145" i="14"/>
  <c r="X145" i="14" s="1"/>
  <c r="R68" i="14"/>
  <c r="R146" i="14"/>
  <c r="X146" i="14" s="1"/>
  <c r="R144" i="14"/>
  <c r="AE132" i="14"/>
  <c r="AE209" i="14" s="1"/>
  <c r="AE218" i="14" s="1"/>
  <c r="BS111" i="14"/>
  <c r="BS116" i="14" s="1"/>
  <c r="AF144" i="14"/>
  <c r="AF149" i="14" s="1"/>
  <c r="BN36" i="14"/>
  <c r="BN63" i="14" s="1"/>
  <c r="G116" i="14"/>
  <c r="BR111" i="14"/>
  <c r="X122" i="14"/>
  <c r="S125" i="14"/>
  <c r="B116" i="14"/>
  <c r="BO111" i="14"/>
  <c r="L17" i="14"/>
  <c r="J146" i="14"/>
  <c r="P146" i="14" s="1"/>
  <c r="J168" i="14"/>
  <c r="P168" i="14" s="1"/>
  <c r="J145" i="14"/>
  <c r="P145" i="14" s="1"/>
  <c r="J144" i="14"/>
  <c r="J164" i="14"/>
  <c r="P164" i="14" s="1"/>
  <c r="K153" i="14"/>
  <c r="J148" i="14"/>
  <c r="P148" i="14" s="1"/>
  <c r="J138" i="14"/>
  <c r="J178" i="14"/>
  <c r="P178" i="14" s="1"/>
  <c r="BO65" i="14"/>
  <c r="J68" i="14"/>
  <c r="U209" i="14"/>
  <c r="U218" i="14" s="1"/>
  <c r="BL127" i="14"/>
  <c r="AS127" i="6" s="1"/>
  <c r="BD65" i="14"/>
  <c r="AM65" i="6" s="1"/>
  <c r="BN121" i="14"/>
  <c r="BT121" i="14" s="1"/>
  <c r="AY121" i="6" s="1"/>
  <c r="AH129" i="14"/>
  <c r="AN129" i="14" s="1"/>
  <c r="AH63" i="14"/>
  <c r="BR110" i="14"/>
  <c r="BQ128" i="14"/>
  <c r="AU209" i="14"/>
  <c r="AU218" i="14" s="1"/>
  <c r="AN178" i="14"/>
  <c r="BO154" i="14"/>
  <c r="AX141" i="14"/>
  <c r="J116" i="14"/>
  <c r="BR65" i="14"/>
  <c r="BS129" i="14"/>
  <c r="BP194" i="14"/>
  <c r="V209" i="14"/>
  <c r="V218" i="14" s="1"/>
  <c r="X121" i="14"/>
  <c r="R125" i="14"/>
  <c r="AR116" i="14"/>
  <c r="AR209" i="14" s="1"/>
  <c r="AR218" i="14" s="1"/>
  <c r="X109" i="14"/>
  <c r="H82" i="2"/>
  <c r="B82" i="6" s="1"/>
  <c r="G209" i="2"/>
  <c r="G218" i="2" s="1"/>
  <c r="BT180" i="2"/>
  <c r="BW180" i="2" s="1"/>
  <c r="H194" i="2"/>
  <c r="H153" i="2"/>
  <c r="C159" i="2"/>
  <c r="BT73" i="2"/>
  <c r="BW73" i="2" s="1"/>
  <c r="BT42" i="2"/>
  <c r="BW42" i="2" s="1"/>
  <c r="E65" i="2"/>
  <c r="E127" i="2"/>
  <c r="BT47" i="2"/>
  <c r="BW47" i="2" s="1"/>
  <c r="BP61" i="2"/>
  <c r="BP64" i="2" s="1"/>
  <c r="BT70" i="2"/>
  <c r="BW70" i="2" s="1"/>
  <c r="BT96" i="2"/>
  <c r="BW96" i="2" s="1"/>
  <c r="BO125" i="2"/>
  <c r="BT137" i="2"/>
  <c r="BW137" i="2" s="1"/>
  <c r="BT152" i="2"/>
  <c r="BW152" i="2" s="1"/>
  <c r="H129" i="2"/>
  <c r="H144" i="2"/>
  <c r="H149" i="2" s="1"/>
  <c r="B149" i="2"/>
  <c r="B125" i="2"/>
  <c r="H121" i="2"/>
  <c r="H125" i="2" s="1"/>
  <c r="BT23" i="2"/>
  <c r="BW23" i="2" s="1"/>
  <c r="B171" i="2"/>
  <c r="H164" i="2"/>
  <c r="H171" i="2" s="1"/>
  <c r="H65" i="2"/>
  <c r="BP82" i="2"/>
  <c r="BT49" i="2"/>
  <c r="BW49" i="2" s="1"/>
  <c r="BO61" i="2"/>
  <c r="BO64" i="2" s="1"/>
  <c r="BT80" i="2"/>
  <c r="BW80" i="2" s="1"/>
  <c r="BT69" i="2"/>
  <c r="BW69" i="2" s="1"/>
  <c r="BO88" i="2"/>
  <c r="BT120" i="2"/>
  <c r="BW120" i="2" s="1"/>
  <c r="BT131" i="2"/>
  <c r="BW131" i="2" s="1"/>
  <c r="BP141" i="2"/>
  <c r="B141" i="2"/>
  <c r="D65" i="2"/>
  <c r="D127" i="2"/>
  <c r="B116" i="2"/>
  <c r="C127" i="2"/>
  <c r="C132" i="2" s="1"/>
  <c r="C65" i="2"/>
  <c r="BT81" i="2"/>
  <c r="BW81" i="2" s="1"/>
  <c r="BT124" i="2"/>
  <c r="BW124" i="2" s="1"/>
  <c r="BR36" i="2"/>
  <c r="BQ36" i="2"/>
  <c r="BQ63" i="2" s="1"/>
  <c r="BQ65" i="2" s="1"/>
  <c r="BT29" i="2"/>
  <c r="BW29" i="2" s="1"/>
  <c r="BT53" i="2"/>
  <c r="BW53" i="2" s="1"/>
  <c r="BT43" i="2"/>
  <c r="BT108" i="2"/>
  <c r="BW108" i="2" s="1"/>
  <c r="BS149" i="2"/>
  <c r="BP171" i="2"/>
  <c r="H141" i="2"/>
  <c r="H116" i="2"/>
  <c r="BR109" i="2"/>
  <c r="H154" i="2"/>
  <c r="B159" i="2"/>
  <c r="BT101" i="2"/>
  <c r="BW101" i="2" s="1"/>
  <c r="BT114" i="2"/>
  <c r="BW114" i="2" s="1"/>
  <c r="BT167" i="2"/>
  <c r="BW167" i="2" s="1"/>
  <c r="BT30" i="2"/>
  <c r="BW30" i="2" s="1"/>
  <c r="BT54" i="2"/>
  <c r="BW54" i="2" s="1"/>
  <c r="BT169" i="2"/>
  <c r="BW169" i="2" s="1"/>
  <c r="BT103" i="2"/>
  <c r="BW103" i="2" s="1"/>
  <c r="BT107" i="2"/>
  <c r="BW107" i="2" s="1"/>
  <c r="BT105" i="2"/>
  <c r="BW105" i="2" s="1"/>
  <c r="BT95" i="2"/>
  <c r="BW95" i="2" s="1"/>
  <c r="BT166" i="2"/>
  <c r="BW166" i="2" s="1"/>
  <c r="BT130" i="2"/>
  <c r="BW130" i="2" s="1"/>
  <c r="BT86" i="2"/>
  <c r="BW86" i="2" s="1"/>
  <c r="BT106" i="2"/>
  <c r="BW106" i="2" s="1"/>
  <c r="BQ125" i="2"/>
  <c r="BS141" i="2"/>
  <c r="BO171" i="2"/>
  <c r="BT35" i="2"/>
  <c r="BW35" i="2" s="1"/>
  <c r="BT59" i="2"/>
  <c r="BW59" i="2" s="1"/>
  <c r="BT74" i="2"/>
  <c r="BW74" i="2" s="1"/>
  <c r="BT94" i="2"/>
  <c r="BW94" i="2" s="1"/>
  <c r="BP125" i="2"/>
  <c r="BT135" i="2"/>
  <c r="BW135" i="2" s="1"/>
  <c r="BT158" i="2"/>
  <c r="BW158" i="2" s="1"/>
  <c r="BT31" i="2"/>
  <c r="BW31" i="2" s="1"/>
  <c r="BT55" i="2"/>
  <c r="BW55" i="2" s="1"/>
  <c r="BT51" i="2"/>
  <c r="BW51" i="2" s="1"/>
  <c r="BT41" i="2"/>
  <c r="BW41" i="2" s="1"/>
  <c r="BR82" i="2"/>
  <c r="BT162" i="2"/>
  <c r="BW162" i="2" s="1"/>
  <c r="BS36" i="2"/>
  <c r="BS61" i="2"/>
  <c r="BS64" i="2" s="1"/>
  <c r="BQ82" i="2"/>
  <c r="BS88" i="2"/>
  <c r="BT93" i="2"/>
  <c r="BW93" i="2" s="1"/>
  <c r="BT99" i="2"/>
  <c r="BW99" i="2" s="1"/>
  <c r="BS109" i="2"/>
  <c r="BR149" i="2"/>
  <c r="B194" i="2"/>
  <c r="BO109" i="2"/>
  <c r="BO82" i="2"/>
  <c r="BN3" i="2"/>
  <c r="BT152" i="14"/>
  <c r="AN122" i="14"/>
  <c r="AI125" i="14"/>
  <c r="AL65" i="14"/>
  <c r="AL132" i="14"/>
  <c r="AL209" i="14" s="1"/>
  <c r="AL218" i="14" s="1"/>
  <c r="C116" i="14"/>
  <c r="BO110" i="14"/>
  <c r="AA125" i="14"/>
  <c r="AF122" i="14"/>
  <c r="AF125" i="14" s="1"/>
  <c r="AM65" i="14"/>
  <c r="AM132" i="14"/>
  <c r="AM209" i="14" s="1"/>
  <c r="AM218" i="14" s="1"/>
  <c r="AF154" i="14"/>
  <c r="BL126" i="14"/>
  <c r="AS126" i="6" s="1"/>
  <c r="BF132" i="14"/>
  <c r="AC65" i="14"/>
  <c r="AC132" i="14"/>
  <c r="AC209" i="14" s="1"/>
  <c r="AC218" i="14" s="1"/>
  <c r="BT174" i="14"/>
  <c r="BN3" i="14"/>
  <c r="AY3" i="6" s="1"/>
  <c r="BN17" i="14"/>
  <c r="AY17" i="6" s="1"/>
  <c r="E5" i="1" s="1"/>
  <c r="P129" i="14"/>
  <c r="B65" i="14"/>
  <c r="B157" i="14"/>
  <c r="B170" i="14"/>
  <c r="B156" i="14"/>
  <c r="H68" i="14"/>
  <c r="H82" i="14" s="1"/>
  <c r="B82" i="14"/>
  <c r="Z170" i="14"/>
  <c r="AF170" i="14" s="1"/>
  <c r="Z156" i="14"/>
  <c r="AF156" i="14" s="1"/>
  <c r="Z82" i="14"/>
  <c r="AF68" i="14"/>
  <c r="AF82" i="14" s="1"/>
  <c r="Z157" i="14"/>
  <c r="AF157" i="14" s="1"/>
  <c r="AF164" i="14"/>
  <c r="AF171" i="14" s="1"/>
  <c r="Z171" i="14"/>
  <c r="BB132" i="14"/>
  <c r="BB209" i="14" s="1"/>
  <c r="BB218" i="14" s="1"/>
  <c r="BB65" i="14"/>
  <c r="M132" i="14"/>
  <c r="M209" i="14" s="1"/>
  <c r="M218" i="14" s="1"/>
  <c r="M65" i="14"/>
  <c r="P110" i="14"/>
  <c r="J125" i="14"/>
  <c r="J126" i="14" s="1"/>
  <c r="P121" i="14"/>
  <c r="BN129" i="14"/>
  <c r="H129" i="14"/>
  <c r="BS194" i="14"/>
  <c r="AX157" i="14"/>
  <c r="BD157" i="14" s="1"/>
  <c r="AM157" i="6" s="1"/>
  <c r="AX193" i="14"/>
  <c r="BD193" i="14" s="1"/>
  <c r="AM193" i="6" s="1"/>
  <c r="AX156" i="14"/>
  <c r="BD156" i="14" s="1"/>
  <c r="AM156" i="6" s="1"/>
  <c r="AX82" i="14"/>
  <c r="AX170" i="14"/>
  <c r="BD170" i="14" s="1"/>
  <c r="BD68" i="14"/>
  <c r="BD144" i="14"/>
  <c r="AX149" i="14"/>
  <c r="H110" i="14"/>
  <c r="J65" i="14"/>
  <c r="P109" i="14"/>
  <c r="AA65" i="14"/>
  <c r="P154" i="14"/>
  <c r="BN154" i="14"/>
  <c r="H154" i="14"/>
  <c r="D116" i="14"/>
  <c r="BT199" i="14"/>
  <c r="BN207" i="14"/>
  <c r="O65" i="14"/>
  <c r="O132" i="14"/>
  <c r="O209" i="14" s="1"/>
  <c r="O218" i="14" s="1"/>
  <c r="P128" i="14"/>
  <c r="H121" i="14"/>
  <c r="H125" i="14" s="1"/>
  <c r="B125" i="14"/>
  <c r="B126" i="14" s="1"/>
  <c r="B149" i="14"/>
  <c r="H144" i="14"/>
  <c r="BR129" i="14"/>
  <c r="F132" i="14"/>
  <c r="F209" i="14" s="1"/>
  <c r="F218" i="14" s="1"/>
  <c r="BR82" i="14"/>
  <c r="BD178" i="14"/>
  <c r="AM178" i="6" s="1"/>
  <c r="AS132" i="14"/>
  <c r="AS209" i="14" s="1"/>
  <c r="AS218" i="14" s="1"/>
  <c r="BQ126" i="14"/>
  <c r="BR128" i="14"/>
  <c r="C132" i="14"/>
  <c r="BN78" i="14"/>
  <c r="BT78" i="14" s="1"/>
  <c r="AY78" i="6" s="1"/>
  <c r="E12" i="1" s="1"/>
  <c r="P78" i="14"/>
  <c r="I78" i="6" s="1"/>
  <c r="H164" i="14"/>
  <c r="BD126" i="14"/>
  <c r="AM126" i="6" s="1"/>
  <c r="BD154" i="14"/>
  <c r="AX159" i="14"/>
  <c r="BD155" i="14"/>
  <c r="AM155" i="6" s="1"/>
  <c r="BN155" i="14"/>
  <c r="BT155" i="14" s="1"/>
  <c r="AY155" i="6" s="1"/>
  <c r="BT135" i="14"/>
  <c r="BS128" i="14"/>
  <c r="BL145" i="14"/>
  <c r="BL149" i="14" s="1"/>
  <c r="BF149" i="14"/>
  <c r="L65" i="14"/>
  <c r="L132" i="14"/>
  <c r="BC65" i="14"/>
  <c r="BC127" i="14"/>
  <c r="BC132" i="14" s="1"/>
  <c r="BC209" i="14" s="1"/>
  <c r="BC218" i="14" s="1"/>
  <c r="BT118" i="14"/>
  <c r="H153" i="14"/>
  <c r="C159" i="14"/>
  <c r="BD128" i="14"/>
  <c r="AM128" i="6" s="1"/>
  <c r="BL111" i="14"/>
  <c r="BN109" i="14"/>
  <c r="BT93" i="14"/>
  <c r="BN139" i="14"/>
  <c r="BT139" i="14" s="1"/>
  <c r="BL139" i="14"/>
  <c r="BL141" i="14" s="1"/>
  <c r="AQ125" i="14"/>
  <c r="AV122" i="14"/>
  <c r="AG122" i="6" s="1"/>
  <c r="AV129" i="14"/>
  <c r="BT102" i="14"/>
  <c r="H148" i="14"/>
  <c r="AN109" i="14"/>
  <c r="H178" i="14"/>
  <c r="BP82" i="14"/>
  <c r="AF111" i="14"/>
  <c r="X129" i="14"/>
  <c r="E65" i="14"/>
  <c r="E159" i="14"/>
  <c r="BQ154" i="14"/>
  <c r="BQ159" i="14" s="1"/>
  <c r="AN68" i="14"/>
  <c r="AN82" i="14" s="1"/>
  <c r="AN170" i="14"/>
  <c r="AH157" i="14"/>
  <c r="AN157" i="14" s="1"/>
  <c r="AH82" i="14"/>
  <c r="BD130" i="14"/>
  <c r="AM130" i="6" s="1"/>
  <c r="BN130" i="14"/>
  <c r="BT130" i="14" s="1"/>
  <c r="AY130" i="6" s="1"/>
  <c r="BT36" i="14"/>
  <c r="K125" i="14"/>
  <c r="K126" i="14" s="1"/>
  <c r="P122" i="14"/>
  <c r="BO122" i="14"/>
  <c r="AQ65" i="14"/>
  <c r="AV154" i="14"/>
  <c r="L116" i="14"/>
  <c r="P153" i="14"/>
  <c r="K159" i="14"/>
  <c r="AN110" i="14"/>
  <c r="H138" i="14"/>
  <c r="H141" i="14" s="1"/>
  <c r="X154" i="14"/>
  <c r="BQ129" i="14"/>
  <c r="BD153" i="14"/>
  <c r="AM153" i="6" s="1"/>
  <c r="AY159" i="14"/>
  <c r="AY209" i="14" s="1"/>
  <c r="AY218" i="14" s="1"/>
  <c r="D132" i="14"/>
  <c r="BN113" i="14"/>
  <c r="BT113" i="14" s="1"/>
  <c r="AP65" i="14"/>
  <c r="K65" i="14"/>
  <c r="AX132" i="14"/>
  <c r="H128" i="14"/>
  <c r="BN128" i="14"/>
  <c r="BO109" i="14"/>
  <c r="BT104" i="14"/>
  <c r="H145" i="14"/>
  <c r="BP129" i="14"/>
  <c r="G127" i="14"/>
  <c r="G65" i="14"/>
  <c r="P65" i="14"/>
  <c r="BA132" i="14"/>
  <c r="BA209" i="14" s="1"/>
  <c r="BA218" i="14" s="1"/>
  <c r="BA65" i="14"/>
  <c r="AP148" i="14"/>
  <c r="AV148" i="14" s="1"/>
  <c r="AG148" i="6" s="1"/>
  <c r="AP138" i="14"/>
  <c r="AP145" i="14"/>
  <c r="AV145" i="14" s="1"/>
  <c r="AG145" i="6" s="1"/>
  <c r="AP144" i="14"/>
  <c r="AP68" i="14"/>
  <c r="AP146" i="14"/>
  <c r="AV146" i="14" s="1"/>
  <c r="AG146" i="6" s="1"/>
  <c r="AF129" i="14"/>
  <c r="N65" i="14"/>
  <c r="AP125" i="14"/>
  <c r="AP127" i="14" s="1"/>
  <c r="AV121" i="14"/>
  <c r="BI132" i="14"/>
  <c r="BI209" i="14" s="1"/>
  <c r="BI218" i="14" s="1"/>
  <c r="R116" i="14"/>
  <c r="K116" i="14"/>
  <c r="H146" i="14"/>
  <c r="BT85" i="14"/>
  <c r="BP154" i="14"/>
  <c r="BP159" i="14" s="1"/>
  <c r="D159" i="14"/>
  <c r="AN164" i="14"/>
  <c r="BT119" i="14"/>
  <c r="AY119" i="6" s="1"/>
  <c r="Z132" i="14"/>
  <c r="Z65" i="14"/>
  <c r="AN154" i="14"/>
  <c r="BT61" i="14"/>
  <c r="AY61" i="6" s="1"/>
  <c r="AB132" i="14"/>
  <c r="AB209" i="14" s="1"/>
  <c r="AB218" i="14" s="1"/>
  <c r="AB65" i="14"/>
  <c r="AV128" i="14"/>
  <c r="AF65" i="14"/>
  <c r="BT216" i="2"/>
  <c r="BT207" i="2"/>
  <c r="BW207" i="2" s="1"/>
  <c r="BS171" i="2"/>
  <c r="BR171" i="2"/>
  <c r="BP159" i="2"/>
  <c r="BR141" i="2"/>
  <c r="BQ141" i="2"/>
  <c r="BR125" i="2"/>
  <c r="BR116" i="2"/>
  <c r="BS116" i="2"/>
  <c r="BT87" i="2"/>
  <c r="BP88" i="2"/>
  <c r="BT78" i="2"/>
  <c r="BW78" i="2" s="1"/>
  <c r="BQ61" i="2"/>
  <c r="BQ64" i="2" s="1"/>
  <c r="BN61" i="2"/>
  <c r="BN64" i="2" s="1"/>
  <c r="BO63" i="2"/>
  <c r="BO65" i="2" s="1"/>
  <c r="BT40" i="2"/>
  <c r="BW40" i="2" s="1"/>
  <c r="BR61" i="2"/>
  <c r="BR64" i="2" s="1"/>
  <c r="BS125" i="2"/>
  <c r="BT39" i="2"/>
  <c r="BT113" i="2"/>
  <c r="BW113" i="2" s="1"/>
  <c r="BR63" i="2"/>
  <c r="BS63" i="2"/>
  <c r="BS65" i="2" s="1"/>
  <c r="BP36" i="2"/>
  <c r="BP63" i="2"/>
  <c r="BT27" i="2"/>
  <c r="BN36" i="2"/>
  <c r="BN17" i="2"/>
  <c r="BW17" i="2" s="1"/>
  <c r="BT220" i="2"/>
  <c r="BT26" i="2"/>
  <c r="BT38" i="2" s="1"/>
  <c r="BT67" i="2" s="1"/>
  <c r="BT84" i="2" s="1"/>
  <c r="BT91" i="2" s="1"/>
  <c r="BT118" i="2" s="1"/>
  <c r="BT134" i="2" s="1"/>
  <c r="BT143" i="2" s="1"/>
  <c r="BT151" i="2" s="1"/>
  <c r="BT161" i="2" s="1"/>
  <c r="BT173" i="2" s="1"/>
  <c r="BT196" i="2" s="1"/>
  <c r="BT119" i="2"/>
  <c r="BN109" i="2"/>
  <c r="BT98" i="2"/>
  <c r="BQ143" i="2"/>
  <c r="BQ151" i="2"/>
  <c r="BQ161" i="2" s="1"/>
  <c r="BQ173" i="2" s="1"/>
  <c r="BQ196" i="2" s="1"/>
  <c r="BT139" i="2"/>
  <c r="BW139" i="2" s="1"/>
  <c r="BQ116" i="2"/>
  <c r="BT76" i="2"/>
  <c r="BT140" i="2"/>
  <c r="BW140" i="2" s="1"/>
  <c r="BF82" i="2"/>
  <c r="BL82" i="2"/>
  <c r="AR82" i="6" s="1"/>
  <c r="BH132" i="2"/>
  <c r="BH209" i="2" s="1"/>
  <c r="BH218" i="2" s="1"/>
  <c r="BI132" i="2"/>
  <c r="BJ132" i="2"/>
  <c r="BG116" i="2"/>
  <c r="BF126" i="2"/>
  <c r="BF132" i="2" s="1"/>
  <c r="BF109" i="2"/>
  <c r="BF110" i="2" s="1"/>
  <c r="BL110" i="2" s="1"/>
  <c r="BI151" i="2"/>
  <c r="BI161" i="2" s="1"/>
  <c r="BI173" i="2" s="1"/>
  <c r="BI196" i="2" s="1"/>
  <c r="BI143" i="2"/>
  <c r="BL123" i="2"/>
  <c r="BL125" i="2" s="1"/>
  <c r="AR125" i="6" s="1"/>
  <c r="BF65" i="2"/>
  <c r="BG65" i="2"/>
  <c r="BI110" i="2"/>
  <c r="BI111" i="2"/>
  <c r="BL109" i="2"/>
  <c r="BL61" i="2"/>
  <c r="BK127" i="2"/>
  <c r="BL127" i="2" s="1"/>
  <c r="AR127" i="6" s="1"/>
  <c r="BL192" i="2"/>
  <c r="BL194" i="2" s="1"/>
  <c r="AR194" i="6" s="1"/>
  <c r="BJ110" i="2"/>
  <c r="BJ111" i="2"/>
  <c r="BG132" i="2"/>
  <c r="BL94" i="2"/>
  <c r="BF138" i="2"/>
  <c r="BK111" i="2"/>
  <c r="BK116" i="2" s="1"/>
  <c r="BF139" i="2"/>
  <c r="BL139" i="2" s="1"/>
  <c r="BF145" i="2"/>
  <c r="BA116" i="2"/>
  <c r="BB116" i="2"/>
  <c r="AY116" i="2"/>
  <c r="BD141" i="2"/>
  <c r="BC65" i="2"/>
  <c r="BC127" i="2"/>
  <c r="BC132" i="2" s="1"/>
  <c r="BD111" i="2"/>
  <c r="BC116" i="2"/>
  <c r="BB132" i="2"/>
  <c r="BA151" i="2"/>
  <c r="BA161" i="2" s="1"/>
  <c r="BA173" i="2" s="1"/>
  <c r="BA196" i="2" s="1"/>
  <c r="BA143" i="2"/>
  <c r="AX65" i="2"/>
  <c r="AX116" i="2"/>
  <c r="BD110" i="2"/>
  <c r="BD116" i="2" s="1"/>
  <c r="BB65" i="2"/>
  <c r="BD144" i="2"/>
  <c r="AX168" i="2"/>
  <c r="BD168" i="2" s="1"/>
  <c r="BD140" i="2"/>
  <c r="AX68" i="2"/>
  <c r="AY153" i="2"/>
  <c r="AX127" i="2"/>
  <c r="BD122" i="2"/>
  <c r="BD125" i="2" s="1"/>
  <c r="AX145" i="2"/>
  <c r="BD145" i="2" s="1"/>
  <c r="AX155" i="2"/>
  <c r="BD155" i="2" s="1"/>
  <c r="AX141" i="2"/>
  <c r="AX163" i="2"/>
  <c r="AX178" i="2"/>
  <c r="AX154" i="2"/>
  <c r="AY63" i="2"/>
  <c r="AX130" i="2"/>
  <c r="BD130" i="2" s="1"/>
  <c r="AZ63" i="2"/>
  <c r="AX125" i="2"/>
  <c r="AX126" i="2" s="1"/>
  <c r="BA63" i="2"/>
  <c r="BD82" i="14" l="1"/>
  <c r="AM82" i="6" s="1"/>
  <c r="AM68" i="6"/>
  <c r="BD171" i="14"/>
  <c r="AM171" i="6" s="1"/>
  <c r="AM170" i="6"/>
  <c r="BD149" i="14"/>
  <c r="AM149" i="6" s="1"/>
  <c r="AM144" i="6"/>
  <c r="AQ126" i="14"/>
  <c r="AQ127" i="14"/>
  <c r="AV125" i="14"/>
  <c r="AG125" i="6" s="1"/>
  <c r="AG121" i="6"/>
  <c r="BW43" i="2"/>
  <c r="AX43" i="6"/>
  <c r="BL64" i="2"/>
  <c r="AR61" i="6"/>
  <c r="BW119" i="2"/>
  <c r="AX119" i="6"/>
  <c r="BL132" i="14"/>
  <c r="AS132" i="6" s="1"/>
  <c r="AV185" i="14"/>
  <c r="AG185" i="6" s="1"/>
  <c r="BN185" i="14"/>
  <c r="BT185" i="14" s="1"/>
  <c r="AY185" i="6" s="1"/>
  <c r="BW216" i="2"/>
  <c r="AX216" i="6"/>
  <c r="BW76" i="2"/>
  <c r="AX76" i="6"/>
  <c r="J127" i="14"/>
  <c r="BN164" i="14"/>
  <c r="BT164" i="14" s="1"/>
  <c r="AY164" i="6" s="1"/>
  <c r="BN65" i="14"/>
  <c r="AP126" i="14"/>
  <c r="AP132" i="14" s="1"/>
  <c r="AH65" i="14"/>
  <c r="AN111" i="14"/>
  <c r="AN116" i="14" s="1"/>
  <c r="AH149" i="14"/>
  <c r="AN153" i="14"/>
  <c r="AN159" i="14" s="1"/>
  <c r="AN144" i="14"/>
  <c r="AN149" i="14" s="1"/>
  <c r="BN144" i="14"/>
  <c r="BT144" i="14" s="1"/>
  <c r="AY144" i="6" s="1"/>
  <c r="AF159" i="14"/>
  <c r="AH159" i="14"/>
  <c r="X125" i="14"/>
  <c r="L209" i="14"/>
  <c r="L218" i="14" s="1"/>
  <c r="BR116" i="14"/>
  <c r="J193" i="14"/>
  <c r="P193" i="14" s="1"/>
  <c r="J170" i="14"/>
  <c r="P170" i="14" s="1"/>
  <c r="BP111" i="14"/>
  <c r="H111" i="14"/>
  <c r="H116" i="14" s="1"/>
  <c r="S126" i="14"/>
  <c r="S132" i="14"/>
  <c r="BT129" i="14"/>
  <c r="AY129" i="6" s="1"/>
  <c r="P68" i="14"/>
  <c r="P82" i="14" s="1"/>
  <c r="I82" i="6" s="1"/>
  <c r="J149" i="14"/>
  <c r="AN121" i="14"/>
  <c r="AN125" i="14" s="1"/>
  <c r="AH125" i="14"/>
  <c r="AH126" i="14" s="1"/>
  <c r="R170" i="14"/>
  <c r="AH141" i="14"/>
  <c r="AN138" i="14"/>
  <c r="AN141" i="14" s="1"/>
  <c r="R126" i="14"/>
  <c r="AV111" i="14"/>
  <c r="AV116" i="14" s="1"/>
  <c r="J141" i="14"/>
  <c r="P138" i="14"/>
  <c r="P141" i="14" s="1"/>
  <c r="BT128" i="14"/>
  <c r="AY128" i="6" s="1"/>
  <c r="J82" i="14"/>
  <c r="P144" i="14"/>
  <c r="P149" i="14" s="1"/>
  <c r="H149" i="14"/>
  <c r="J156" i="14"/>
  <c r="P156" i="14" s="1"/>
  <c r="J157" i="14"/>
  <c r="P157" i="14" s="1"/>
  <c r="P159" i="14" s="1"/>
  <c r="BN138" i="14"/>
  <c r="BT138" i="14" s="1"/>
  <c r="P125" i="14"/>
  <c r="P111" i="14"/>
  <c r="P116" i="14" s="1"/>
  <c r="P171" i="14"/>
  <c r="J171" i="14"/>
  <c r="BO116" i="14"/>
  <c r="D209" i="14"/>
  <c r="D218" i="14" s="1"/>
  <c r="BT88" i="2"/>
  <c r="BW88" i="2" s="1"/>
  <c r="BW87" i="2"/>
  <c r="B126" i="2"/>
  <c r="B127" i="2"/>
  <c r="H127" i="2" s="1"/>
  <c r="BR65" i="2"/>
  <c r="C209" i="2"/>
  <c r="C218" i="2" s="1"/>
  <c r="BT61" i="2"/>
  <c r="BW39" i="2"/>
  <c r="E132" i="2"/>
  <c r="E209" i="2" s="1"/>
  <c r="E218" i="2" s="1"/>
  <c r="BQ127" i="2"/>
  <c r="BQ132" i="2" s="1"/>
  <c r="BQ209" i="2" s="1"/>
  <c r="BQ218" i="2" s="1"/>
  <c r="H159" i="2"/>
  <c r="BP65" i="2"/>
  <c r="D132" i="2"/>
  <c r="D209" i="2" s="1"/>
  <c r="D218" i="2" s="1"/>
  <c r="BP127" i="2"/>
  <c r="BP132" i="2" s="1"/>
  <c r="BT109" i="2"/>
  <c r="BW109" i="2" s="1"/>
  <c r="BW98" i="2"/>
  <c r="BT36" i="2"/>
  <c r="BW27" i="2"/>
  <c r="AQ159" i="14"/>
  <c r="AV153" i="14"/>
  <c r="AG153" i="6" s="1"/>
  <c r="BP127" i="14"/>
  <c r="BP132" i="14" s="1"/>
  <c r="J159" i="14"/>
  <c r="T116" i="14"/>
  <c r="T209" i="14" s="1"/>
  <c r="T218" i="14" s="1"/>
  <c r="X110" i="14"/>
  <c r="AP194" i="14"/>
  <c r="AV178" i="14"/>
  <c r="X170" i="14"/>
  <c r="R157" i="14"/>
  <c r="X157" i="14" s="1"/>
  <c r="X193" i="14"/>
  <c r="R156" i="14"/>
  <c r="X68" i="14"/>
  <c r="X82" i="14" s="1"/>
  <c r="R82" i="14"/>
  <c r="BT63" i="14"/>
  <c r="BN68" i="14"/>
  <c r="BO126" i="14"/>
  <c r="BT64" i="14"/>
  <c r="AY64" i="6" s="1"/>
  <c r="BN148" i="14"/>
  <c r="BT148" i="14" s="1"/>
  <c r="AY148" i="6" s="1"/>
  <c r="BT109" i="14"/>
  <c r="H156" i="14"/>
  <c r="AP82" i="14"/>
  <c r="AV68" i="14"/>
  <c r="AP170" i="14"/>
  <c r="AV170" i="14" s="1"/>
  <c r="AG170" i="6" s="1"/>
  <c r="AP157" i="14"/>
  <c r="AV157" i="14" s="1"/>
  <c r="AG157" i="6" s="1"/>
  <c r="AP156" i="14"/>
  <c r="BS127" i="14"/>
  <c r="BS132" i="14" s="1"/>
  <c r="BS209" i="14" s="1"/>
  <c r="BS218" i="14" s="1"/>
  <c r="G132" i="14"/>
  <c r="G209" i="14" s="1"/>
  <c r="G218" i="14" s="1"/>
  <c r="BD159" i="14"/>
  <c r="AM159" i="6" s="1"/>
  <c r="X153" i="14"/>
  <c r="S159" i="14"/>
  <c r="BQ127" i="14"/>
  <c r="BQ132" i="14" s="1"/>
  <c r="BQ209" i="14" s="1"/>
  <c r="BQ218" i="14" s="1"/>
  <c r="E132" i="14"/>
  <c r="E209" i="14" s="1"/>
  <c r="E218" i="14" s="1"/>
  <c r="H126" i="14"/>
  <c r="BP110" i="14"/>
  <c r="H170" i="14"/>
  <c r="H171" i="14" s="1"/>
  <c r="AV144" i="14"/>
  <c r="AP149" i="14"/>
  <c r="BD127" i="14"/>
  <c r="AM127" i="6" s="1"/>
  <c r="R149" i="14"/>
  <c r="X144" i="14"/>
  <c r="X149" i="14" s="1"/>
  <c r="BT207" i="14"/>
  <c r="BL110" i="14"/>
  <c r="BL116" i="14" s="1"/>
  <c r="BL209" i="14" s="1"/>
  <c r="BF116" i="14"/>
  <c r="BF209" i="14" s="1"/>
  <c r="BF218" i="14" s="1"/>
  <c r="BT134" i="14"/>
  <c r="B171" i="14"/>
  <c r="P126" i="14"/>
  <c r="H157" i="14"/>
  <c r="BT88" i="14"/>
  <c r="X138" i="14"/>
  <c r="X141" i="14" s="1"/>
  <c r="R141" i="14"/>
  <c r="H193" i="14"/>
  <c r="AA132" i="14"/>
  <c r="AA209" i="14" s="1"/>
  <c r="AA218" i="14" s="1"/>
  <c r="AF127" i="14"/>
  <c r="BN146" i="14"/>
  <c r="BT146" i="14" s="1"/>
  <c r="AY146" i="6" s="1"/>
  <c r="AF126" i="14"/>
  <c r="AF132" i="14" s="1"/>
  <c r="Z116" i="14"/>
  <c r="AF110" i="14"/>
  <c r="AF116" i="14" s="1"/>
  <c r="AX194" i="14"/>
  <c r="BN168" i="14"/>
  <c r="BT168" i="14" s="1"/>
  <c r="AY168" i="6" s="1"/>
  <c r="P127" i="14"/>
  <c r="AV126" i="14"/>
  <c r="AG126" i="6" s="1"/>
  <c r="AV138" i="14"/>
  <c r="AP141" i="14"/>
  <c r="K132" i="14"/>
  <c r="K209" i="14" s="1"/>
  <c r="K218" i="14" s="1"/>
  <c r="AX171" i="14"/>
  <c r="BD194" i="14"/>
  <c r="AM194" i="6" s="1"/>
  <c r="AF193" i="14"/>
  <c r="Z194" i="14"/>
  <c r="N132" i="14"/>
  <c r="N209" i="14" s="1"/>
  <c r="N218" i="14" s="1"/>
  <c r="BR127" i="14"/>
  <c r="BR132" i="14" s="1"/>
  <c r="BN145" i="14"/>
  <c r="BT145" i="14" s="1"/>
  <c r="AY145" i="6" s="1"/>
  <c r="X178" i="14"/>
  <c r="AN193" i="14"/>
  <c r="AH194" i="14"/>
  <c r="AP116" i="14"/>
  <c r="B159" i="14"/>
  <c r="BN125" i="14"/>
  <c r="AV212" i="14"/>
  <c r="AV216" i="14" s="1"/>
  <c r="AG216" i="6" s="1"/>
  <c r="BN212" i="14"/>
  <c r="AP216" i="14"/>
  <c r="J194" i="14"/>
  <c r="X164" i="14"/>
  <c r="AQ132" i="14"/>
  <c r="B194" i="14"/>
  <c r="BT154" i="14"/>
  <c r="BN110" i="14"/>
  <c r="BN111" i="14"/>
  <c r="AH171" i="14"/>
  <c r="P194" i="14"/>
  <c r="BO125" i="14"/>
  <c r="BT122" i="14"/>
  <c r="AY122" i="6" s="1"/>
  <c r="BN178" i="14"/>
  <c r="BO153" i="14"/>
  <c r="X111" i="14"/>
  <c r="AN171" i="14"/>
  <c r="AV164" i="14"/>
  <c r="AG164" i="6" s="1"/>
  <c r="C209" i="14"/>
  <c r="C218" i="14" s="1"/>
  <c r="Z159" i="14"/>
  <c r="BS132" i="2"/>
  <c r="BS209" i="2" s="1"/>
  <c r="BS218" i="2" s="1"/>
  <c r="BT112" i="2"/>
  <c r="BW112" i="2" s="1"/>
  <c r="BN63" i="2"/>
  <c r="BN65" i="2" s="1"/>
  <c r="BG209" i="2"/>
  <c r="BG218" i="2" s="1"/>
  <c r="BL126" i="2"/>
  <c r="BF111" i="2"/>
  <c r="BL111" i="2" s="1"/>
  <c r="BL116" i="2" s="1"/>
  <c r="BK132" i="2"/>
  <c r="BK209" i="2" s="1"/>
  <c r="BK218" i="2" s="1"/>
  <c r="BL145" i="2"/>
  <c r="BL149" i="2" s="1"/>
  <c r="BF149" i="2"/>
  <c r="BF141" i="2"/>
  <c r="BL138" i="2"/>
  <c r="BL141" i="2" s="1"/>
  <c r="BJ116" i="2"/>
  <c r="BJ209" i="2" s="1"/>
  <c r="BJ218" i="2" s="1"/>
  <c r="BI116" i="2"/>
  <c r="BI209" i="2" s="1"/>
  <c r="BI218" i="2" s="1"/>
  <c r="BB209" i="2"/>
  <c r="BB218" i="2" s="1"/>
  <c r="BC209" i="2"/>
  <c r="BC218" i="2" s="1"/>
  <c r="BD126" i="2"/>
  <c r="AX132" i="2"/>
  <c r="AY159" i="2"/>
  <c r="AY209" i="2" s="1"/>
  <c r="AY218" i="2" s="1"/>
  <c r="BD153" i="2"/>
  <c r="BD159" i="2" s="1"/>
  <c r="AZ127" i="2"/>
  <c r="AZ132" i="2" s="1"/>
  <c r="AZ209" i="2" s="1"/>
  <c r="AZ218" i="2" s="1"/>
  <c r="AZ65" i="2"/>
  <c r="AX157" i="2"/>
  <c r="BD157" i="2" s="1"/>
  <c r="BD68" i="2"/>
  <c r="BD82" i="2" s="1"/>
  <c r="AX193" i="2"/>
  <c r="BD193" i="2" s="1"/>
  <c r="AX82" i="2"/>
  <c r="AX170" i="2"/>
  <c r="BD170" i="2" s="1"/>
  <c r="AX156" i="2"/>
  <c r="BD156" i="2" s="1"/>
  <c r="AY65" i="2"/>
  <c r="AY127" i="2"/>
  <c r="AY132" i="2" s="1"/>
  <c r="BA127" i="2"/>
  <c r="BA132" i="2" s="1"/>
  <c r="BA209" i="2" s="1"/>
  <c r="BA218" i="2" s="1"/>
  <c r="BA65" i="2"/>
  <c r="BD154" i="2"/>
  <c r="BD149" i="2"/>
  <c r="BD178" i="2"/>
  <c r="AX194" i="2"/>
  <c r="BD163" i="2"/>
  <c r="AX171" i="2"/>
  <c r="AX149" i="2"/>
  <c r="BD132" i="14" l="1"/>
  <c r="AM132" i="6" s="1"/>
  <c r="BT64" i="2"/>
  <c r="AX61" i="6"/>
  <c r="BL65" i="2"/>
  <c r="AR65" i="6" s="1"/>
  <c r="AR64" i="6"/>
  <c r="BL132" i="2"/>
  <c r="AR132" i="6" s="1"/>
  <c r="AR126" i="6"/>
  <c r="AV82" i="14"/>
  <c r="AG82" i="6" s="1"/>
  <c r="AG68" i="6"/>
  <c r="AV194" i="14"/>
  <c r="AG194" i="6" s="1"/>
  <c r="AG178" i="6"/>
  <c r="BT141" i="14"/>
  <c r="AY141" i="6" s="1"/>
  <c r="AY138" i="6"/>
  <c r="AV149" i="14"/>
  <c r="AG149" i="6" s="1"/>
  <c r="AG144" i="6"/>
  <c r="AV141" i="14"/>
  <c r="AG141" i="6" s="1"/>
  <c r="AG138" i="6"/>
  <c r="AF194" i="14"/>
  <c r="U194" i="6" s="1"/>
  <c r="U193" i="6"/>
  <c r="H194" i="14"/>
  <c r="C194" i="6" s="1"/>
  <c r="C193" i="6"/>
  <c r="BL218" i="14"/>
  <c r="AS209" i="6"/>
  <c r="AN194" i="14"/>
  <c r="AA194" i="6" s="1"/>
  <c r="AA193" i="6"/>
  <c r="BR209" i="14"/>
  <c r="BR218" i="14" s="1"/>
  <c r="AH127" i="14"/>
  <c r="AN127" i="14" s="1"/>
  <c r="Z209" i="14"/>
  <c r="Z218" i="14" s="1"/>
  <c r="BP116" i="14"/>
  <c r="BP209" i="14" s="1"/>
  <c r="BP218" i="14" s="1"/>
  <c r="BN126" i="14"/>
  <c r="BT126" i="14" s="1"/>
  <c r="AY126" i="6" s="1"/>
  <c r="BN156" i="14"/>
  <c r="BT156" i="14" s="1"/>
  <c r="AY156" i="6" s="1"/>
  <c r="X127" i="14"/>
  <c r="S209" i="14"/>
  <c r="S218" i="14" s="1"/>
  <c r="R132" i="14"/>
  <c r="X126" i="14"/>
  <c r="AX209" i="14"/>
  <c r="AX218" i="14" s="1"/>
  <c r="BT111" i="14"/>
  <c r="AY111" i="6" s="1"/>
  <c r="H159" i="14"/>
  <c r="AN126" i="14"/>
  <c r="BN141" i="14"/>
  <c r="BT125" i="14"/>
  <c r="AY125" i="6" s="1"/>
  <c r="E16" i="1" s="1"/>
  <c r="BN170" i="14"/>
  <c r="BT170" i="14" s="1"/>
  <c r="AY170" i="6" s="1"/>
  <c r="R171" i="14"/>
  <c r="X171" i="14"/>
  <c r="H126" i="2"/>
  <c r="H132" i="2" s="1"/>
  <c r="H209" i="2" s="1"/>
  <c r="H218" i="2" s="1"/>
  <c r="B132" i="2"/>
  <c r="B209" i="2" s="1"/>
  <c r="B218" i="2" s="1"/>
  <c r="BW61" i="2"/>
  <c r="BT63" i="2"/>
  <c r="BW36" i="2"/>
  <c r="BN116" i="14"/>
  <c r="BT110" i="14"/>
  <c r="BT143" i="14"/>
  <c r="BT178" i="14"/>
  <c r="AY178" i="6" s="1"/>
  <c r="H127" i="14"/>
  <c r="H132" i="14" s="1"/>
  <c r="AF209" i="14"/>
  <c r="AV127" i="14"/>
  <c r="BD209" i="14"/>
  <c r="BN193" i="14"/>
  <c r="BT193" i="14" s="1"/>
  <c r="AY193" i="6" s="1"/>
  <c r="B132" i="14"/>
  <c r="B209" i="14" s="1"/>
  <c r="B218" i="14" s="1"/>
  <c r="BT68" i="14"/>
  <c r="AY68" i="6" s="1"/>
  <c r="E10" i="1" s="1"/>
  <c r="BN82" i="14"/>
  <c r="AP171" i="14"/>
  <c r="R194" i="14"/>
  <c r="P132" i="14"/>
  <c r="P209" i="14" s="1"/>
  <c r="P218" i="14" s="1"/>
  <c r="AV171" i="14"/>
  <c r="AG171" i="6" s="1"/>
  <c r="BT212" i="14"/>
  <c r="AY212" i="6" s="1"/>
  <c r="BN216" i="14"/>
  <c r="X194" i="14"/>
  <c r="BO127" i="14"/>
  <c r="BO132" i="14" s="1"/>
  <c r="J132" i="14"/>
  <c r="J209" i="14" s="1"/>
  <c r="J218" i="14" s="1"/>
  <c r="BN149" i="14"/>
  <c r="X116" i="14"/>
  <c r="AQ209" i="14"/>
  <c r="AQ218" i="14" s="1"/>
  <c r="BT65" i="14"/>
  <c r="AY65" i="6" s="1"/>
  <c r="BO159" i="14"/>
  <c r="BT153" i="14"/>
  <c r="AY153" i="6" s="1"/>
  <c r="AV156" i="14"/>
  <c r="AP159" i="14"/>
  <c r="X156" i="14"/>
  <c r="X159" i="14" s="1"/>
  <c r="R159" i="14"/>
  <c r="BN157" i="14"/>
  <c r="BT157" i="14" s="1"/>
  <c r="AY157" i="6" s="1"/>
  <c r="AI132" i="14"/>
  <c r="AI209" i="14" s="1"/>
  <c r="AI218" i="14" s="1"/>
  <c r="BT149" i="14"/>
  <c r="AY149" i="6" s="1"/>
  <c r="BF116" i="2"/>
  <c r="BF209" i="2" s="1"/>
  <c r="BF218" i="2" s="1"/>
  <c r="BL209" i="2"/>
  <c r="BD171" i="2"/>
  <c r="AX209" i="2"/>
  <c r="AX218" i="2" s="1"/>
  <c r="BD194" i="2"/>
  <c r="AX159" i="2"/>
  <c r="BD127" i="2"/>
  <c r="BD132" i="2" s="1"/>
  <c r="E18" i="1" l="1"/>
  <c r="BD218" i="14"/>
  <c r="AM209" i="6"/>
  <c r="P219" i="14"/>
  <c r="I219" i="6" s="1"/>
  <c r="I218" i="6"/>
  <c r="AV132" i="14"/>
  <c r="AG132" i="6" s="1"/>
  <c r="AG127" i="6"/>
  <c r="BW64" i="2"/>
  <c r="AX64" i="6"/>
  <c r="AV159" i="14"/>
  <c r="AG159" i="6" s="1"/>
  <c r="AG156" i="6"/>
  <c r="AF218" i="14"/>
  <c r="U209" i="6"/>
  <c r="AF219" i="14"/>
  <c r="U219" i="6" s="1"/>
  <c r="U218" i="6"/>
  <c r="BL219" i="14"/>
  <c r="AS219" i="6" s="1"/>
  <c r="AS218" i="6"/>
  <c r="BL218" i="2"/>
  <c r="AR209" i="6"/>
  <c r="H219" i="2"/>
  <c r="B219" i="6" s="1"/>
  <c r="B218" i="6"/>
  <c r="AH132" i="14"/>
  <c r="AH209" i="14" s="1"/>
  <c r="AH218" i="14" s="1"/>
  <c r="AN132" i="14"/>
  <c r="AN209" i="14" s="1"/>
  <c r="AV209" i="14"/>
  <c r="H209" i="14"/>
  <c r="AP209" i="14"/>
  <c r="AP218" i="14" s="1"/>
  <c r="BN127" i="14"/>
  <c r="BN132" i="14" s="1"/>
  <c r="X132" i="14"/>
  <c r="X209" i="14" s="1"/>
  <c r="X218" i="14" s="1"/>
  <c r="BT171" i="14"/>
  <c r="AY171" i="6" s="1"/>
  <c r="BN171" i="14"/>
  <c r="BN194" i="14"/>
  <c r="BW63" i="2"/>
  <c r="BT65" i="2"/>
  <c r="R209" i="14"/>
  <c r="R218" i="14" s="1"/>
  <c r="BT194" i="14"/>
  <c r="AY194" i="6" s="1"/>
  <c r="E20" i="1" s="1"/>
  <c r="BT151" i="14"/>
  <c r="BT159" i="14"/>
  <c r="AY159" i="6" s="1"/>
  <c r="BO209" i="14"/>
  <c r="BO218" i="14" s="1"/>
  <c r="BT216" i="14"/>
  <c r="AY216" i="6" s="1"/>
  <c r="BT116" i="14"/>
  <c r="AY116" i="6" s="1"/>
  <c r="BT82" i="14"/>
  <c r="AY82" i="6" s="1"/>
  <c r="BN159" i="14"/>
  <c r="BU193" i="14"/>
  <c r="BD209" i="2"/>
  <c r="BD218" i="2" s="1"/>
  <c r="BD219" i="2" s="1"/>
  <c r="BD219" i="14" l="1"/>
  <c r="AM219" i="6" s="1"/>
  <c r="AM218" i="6"/>
  <c r="E19" i="1"/>
  <c r="BW65" i="2"/>
  <c r="AX65" i="6"/>
  <c r="AV218" i="14"/>
  <c r="AG209" i="6"/>
  <c r="AV219" i="14"/>
  <c r="AG219" i="6" s="1"/>
  <c r="AG218" i="6"/>
  <c r="X219" i="14"/>
  <c r="O219" i="6" s="1"/>
  <c r="O218" i="6"/>
  <c r="H218" i="14"/>
  <c r="C209" i="6"/>
  <c r="H219" i="14"/>
  <c r="C219" i="6" s="1"/>
  <c r="C218" i="6"/>
  <c r="BL219" i="2"/>
  <c r="AR219" i="6" s="1"/>
  <c r="AR218" i="6"/>
  <c r="AN218" i="14"/>
  <c r="AA209" i="6"/>
  <c r="BT127" i="14"/>
  <c r="BN209" i="14"/>
  <c r="BN218" i="14" s="1"/>
  <c r="BT161" i="14"/>
  <c r="B9" i="12"/>
  <c r="B8" i="12"/>
  <c r="B7" i="12"/>
  <c r="G6" i="12" s="1"/>
  <c r="B6" i="12"/>
  <c r="G5" i="12" s="1"/>
  <c r="B5" i="12"/>
  <c r="AV220" i="2"/>
  <c r="AU220" i="2"/>
  <c r="AT220" i="2"/>
  <c r="AS220" i="2"/>
  <c r="AR220" i="2"/>
  <c r="AQ220" i="2"/>
  <c r="AP220" i="2"/>
  <c r="AU216" i="2"/>
  <c r="AT216" i="2"/>
  <c r="AS216" i="2"/>
  <c r="AR216" i="2"/>
  <c r="AQ216" i="2"/>
  <c r="AV215" i="2"/>
  <c r="AV214" i="2"/>
  <c r="AV213" i="2"/>
  <c r="AU207" i="2"/>
  <c r="AT207" i="2"/>
  <c r="AS207" i="2"/>
  <c r="AR207" i="2"/>
  <c r="AQ207" i="2"/>
  <c r="AP206" i="2"/>
  <c r="AV206" i="2" s="1"/>
  <c r="AV207" i="2" s="1"/>
  <c r="AV205" i="2"/>
  <c r="AV204" i="2"/>
  <c r="AV203" i="2"/>
  <c r="AV202" i="2"/>
  <c r="AP202" i="2"/>
  <c r="AV201" i="2"/>
  <c r="AV200" i="2"/>
  <c r="AV199" i="2"/>
  <c r="AV198" i="2"/>
  <c r="AV197" i="2"/>
  <c r="AU194" i="2"/>
  <c r="AT194" i="2"/>
  <c r="AS194" i="2"/>
  <c r="AR194" i="2"/>
  <c r="AQ194" i="2"/>
  <c r="AV193" i="2"/>
  <c r="AV192" i="2"/>
  <c r="AU191" i="2"/>
  <c r="AV191" i="2" s="1"/>
  <c r="AV190" i="2"/>
  <c r="AV189" i="2"/>
  <c r="AV188" i="2"/>
  <c r="AV187" i="2"/>
  <c r="AV186" i="2"/>
  <c r="AV185" i="2"/>
  <c r="AP185" i="2"/>
  <c r="AV184" i="2"/>
  <c r="AV183" i="2"/>
  <c r="AV182" i="2"/>
  <c r="AV181" i="2"/>
  <c r="AV180" i="2"/>
  <c r="AV179" i="2"/>
  <c r="AV177" i="2"/>
  <c r="AV176" i="2"/>
  <c r="AV175" i="2"/>
  <c r="AP174" i="2"/>
  <c r="AV174" i="2" s="1"/>
  <c r="AU171" i="2"/>
  <c r="AT171" i="2"/>
  <c r="AS171" i="2"/>
  <c r="AR171" i="2"/>
  <c r="AQ171" i="2"/>
  <c r="AV169" i="2"/>
  <c r="AV167" i="2"/>
  <c r="AV166" i="2"/>
  <c r="AV165" i="2"/>
  <c r="AV163" i="2"/>
  <c r="AV162" i="2"/>
  <c r="AV158" i="2"/>
  <c r="AV155" i="2"/>
  <c r="AU154" i="2"/>
  <c r="AU159" i="2" s="1"/>
  <c r="AT154" i="2"/>
  <c r="AT159" i="2" s="1"/>
  <c r="AS154" i="2"/>
  <c r="AS159" i="2" s="1"/>
  <c r="AR154" i="2"/>
  <c r="AR159" i="2" s="1"/>
  <c r="AV152" i="2"/>
  <c r="AU149" i="2"/>
  <c r="AT149" i="2"/>
  <c r="AS149" i="2"/>
  <c r="AR149" i="2"/>
  <c r="AQ149" i="2"/>
  <c r="AV147" i="2"/>
  <c r="AU141" i="2"/>
  <c r="AT141" i="2"/>
  <c r="AS141" i="2"/>
  <c r="AR141" i="2"/>
  <c r="AQ141" i="2"/>
  <c r="AV140" i="2"/>
  <c r="AQ140" i="2"/>
  <c r="AV139" i="2"/>
  <c r="AP137" i="2"/>
  <c r="AV137" i="2" s="1"/>
  <c r="AV136" i="2"/>
  <c r="AP135" i="2"/>
  <c r="AV131" i="2"/>
  <c r="AV130" i="2"/>
  <c r="AT126" i="2"/>
  <c r="AS126" i="2"/>
  <c r="AR126" i="2"/>
  <c r="AT125" i="2"/>
  <c r="AS125" i="2"/>
  <c r="AR125" i="2"/>
  <c r="AP124" i="2"/>
  <c r="AU123" i="2"/>
  <c r="AT123" i="2"/>
  <c r="AQ123" i="2"/>
  <c r="AP123" i="2"/>
  <c r="AV120" i="2"/>
  <c r="AV119" i="2"/>
  <c r="AV115" i="2"/>
  <c r="AV114" i="2"/>
  <c r="AV113" i="2"/>
  <c r="AV112" i="2"/>
  <c r="AU110" i="2"/>
  <c r="AT110" i="2"/>
  <c r="AS110" i="2"/>
  <c r="AS116" i="2" s="1"/>
  <c r="AQ110" i="2"/>
  <c r="AQ116" i="2" s="1"/>
  <c r="AU109" i="2"/>
  <c r="AT109" i="2"/>
  <c r="AS109" i="2"/>
  <c r="AQ109" i="2"/>
  <c r="AV108" i="2"/>
  <c r="AV107" i="2"/>
  <c r="AV106" i="2"/>
  <c r="AV105" i="2"/>
  <c r="AV104" i="2"/>
  <c r="AV103" i="2"/>
  <c r="AR102" i="2"/>
  <c r="AV102" i="2" s="1"/>
  <c r="AP101" i="2"/>
  <c r="AV101" i="2" s="1"/>
  <c r="AV100" i="2"/>
  <c r="AV99" i="2"/>
  <c r="AV98" i="2"/>
  <c r="AV97" i="2"/>
  <c r="AV96" i="2"/>
  <c r="AV95" i="2"/>
  <c r="AV94" i="2"/>
  <c r="AP93" i="2"/>
  <c r="AV93" i="2" s="1"/>
  <c r="AU88" i="2"/>
  <c r="AT88" i="2"/>
  <c r="AS88" i="2"/>
  <c r="AR88" i="2"/>
  <c r="AQ88" i="2"/>
  <c r="AP88" i="2"/>
  <c r="AV87" i="2"/>
  <c r="AV86" i="2"/>
  <c r="AV88" i="2" s="1"/>
  <c r="AV85" i="2"/>
  <c r="AU82" i="2"/>
  <c r="AS82" i="2"/>
  <c r="AR81" i="2"/>
  <c r="AV80" i="2"/>
  <c r="AR80" i="2"/>
  <c r="AR222" i="2" s="1"/>
  <c r="AV79" i="2"/>
  <c r="AV78" i="2"/>
  <c r="AT77" i="2"/>
  <c r="AV77" i="2" s="1"/>
  <c r="AV76" i="2"/>
  <c r="AV75" i="2"/>
  <c r="AQ82" i="2"/>
  <c r="AV73" i="2"/>
  <c r="AV72" i="2"/>
  <c r="AV71" i="2"/>
  <c r="AP71" i="2"/>
  <c r="AV70" i="2"/>
  <c r="AP70" i="2"/>
  <c r="AP69" i="2"/>
  <c r="AV69" i="2" s="1"/>
  <c r="AS67" i="2"/>
  <c r="AS84" i="2" s="1"/>
  <c r="AS91" i="2" s="1"/>
  <c r="AS118" i="2" s="1"/>
  <c r="AS134" i="2" s="1"/>
  <c r="AS65" i="2"/>
  <c r="AU63" i="2"/>
  <c r="AS63" i="2"/>
  <c r="AS127" i="2" s="1"/>
  <c r="AU61" i="2"/>
  <c r="AU64" i="2" s="1"/>
  <c r="AU111" i="2" s="1"/>
  <c r="AU116" i="2" s="1"/>
  <c r="AT61" i="2"/>
  <c r="AT64" i="2" s="1"/>
  <c r="AT111" i="2" s="1"/>
  <c r="AS61" i="2"/>
  <c r="AS64" i="2" s="1"/>
  <c r="AS111" i="2" s="1"/>
  <c r="AR61" i="2"/>
  <c r="AR64" i="2" s="1"/>
  <c r="AQ61" i="2"/>
  <c r="AQ64" i="2" s="1"/>
  <c r="AQ111" i="2" s="1"/>
  <c r="AP61" i="2"/>
  <c r="AP64" i="2" s="1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S38" i="2"/>
  <c r="AU36" i="2"/>
  <c r="AT36" i="2"/>
  <c r="AT63" i="2" s="1"/>
  <c r="AS36" i="2"/>
  <c r="AR36" i="2"/>
  <c r="AR63" i="2" s="1"/>
  <c r="AQ36" i="2"/>
  <c r="AP36" i="2"/>
  <c r="AV35" i="2"/>
  <c r="AV34" i="2"/>
  <c r="AV33" i="2"/>
  <c r="AV32" i="2"/>
  <c r="AV31" i="2"/>
  <c r="AV30" i="2"/>
  <c r="AV29" i="2"/>
  <c r="AV28" i="2"/>
  <c r="AV27" i="2"/>
  <c r="AS26" i="2"/>
  <c r="AV25" i="2"/>
  <c r="AV24" i="2"/>
  <c r="AV23" i="2"/>
  <c r="AV22" i="2"/>
  <c r="AV21" i="2"/>
  <c r="AQ17" i="2"/>
  <c r="AP4" i="2"/>
  <c r="AP3" i="2" s="1"/>
  <c r="AP2" i="2"/>
  <c r="AN196" i="2"/>
  <c r="AN173" i="2"/>
  <c r="AN161" i="2"/>
  <c r="AN151" i="2"/>
  <c r="AN143" i="2"/>
  <c r="AN134" i="2"/>
  <c r="AN118" i="2"/>
  <c r="AN91" i="2"/>
  <c r="AN84" i="2"/>
  <c r="AN67" i="2"/>
  <c r="AI122" i="2"/>
  <c r="AH121" i="2"/>
  <c r="AJ181" i="2"/>
  <c r="AJ81" i="2"/>
  <c r="AI74" i="2"/>
  <c r="AN38" i="2"/>
  <c r="AN26" i="2"/>
  <c r="AH9" i="2"/>
  <c r="AN220" i="2"/>
  <c r="AM220" i="2"/>
  <c r="AL220" i="2"/>
  <c r="AK220" i="2"/>
  <c r="AJ220" i="2"/>
  <c r="AI220" i="2"/>
  <c r="AH220" i="2"/>
  <c r="AM216" i="2"/>
  <c r="AL216" i="2"/>
  <c r="AK216" i="2"/>
  <c r="AJ216" i="2"/>
  <c r="AI216" i="2"/>
  <c r="AH216" i="2"/>
  <c r="AN215" i="2"/>
  <c r="AN214" i="2"/>
  <c r="AN213" i="2"/>
  <c r="AN212" i="2"/>
  <c r="Z212" i="6" s="1"/>
  <c r="AM207" i="2"/>
  <c r="AL207" i="2"/>
  <c r="AK207" i="2"/>
  <c r="AJ207" i="2"/>
  <c r="AI207" i="2"/>
  <c r="AH207" i="2"/>
  <c r="AN206" i="2"/>
  <c r="AH206" i="2"/>
  <c r="AH205" i="2"/>
  <c r="AN205" i="2" s="1"/>
  <c r="AN204" i="2"/>
  <c r="AN203" i="2"/>
  <c r="AH202" i="2"/>
  <c r="AN202" i="2" s="1"/>
  <c r="AN201" i="2"/>
  <c r="AN200" i="2"/>
  <c r="AN199" i="2"/>
  <c r="AN198" i="2"/>
  <c r="AN197" i="2"/>
  <c r="AM194" i="2"/>
  <c r="AL194" i="2"/>
  <c r="AK194" i="2"/>
  <c r="AI194" i="2"/>
  <c r="AN192" i="2"/>
  <c r="AN191" i="2"/>
  <c r="AM191" i="2"/>
  <c r="AN190" i="2"/>
  <c r="AN189" i="2"/>
  <c r="AN188" i="2"/>
  <c r="AN187" i="2"/>
  <c r="AN186" i="2"/>
  <c r="AN185" i="2"/>
  <c r="Z185" i="6" s="1"/>
  <c r="AN184" i="2"/>
  <c r="AN183" i="2"/>
  <c r="AN182" i="2"/>
  <c r="AN180" i="2"/>
  <c r="AN179" i="2"/>
  <c r="AN177" i="2"/>
  <c r="AN176" i="2"/>
  <c r="AN175" i="2"/>
  <c r="AH174" i="2"/>
  <c r="AN174" i="2" s="1"/>
  <c r="AM171" i="2"/>
  <c r="AL171" i="2"/>
  <c r="AK171" i="2"/>
  <c r="AJ171" i="2"/>
  <c r="AI171" i="2"/>
  <c r="AN169" i="2"/>
  <c r="AN167" i="2"/>
  <c r="AN166" i="2"/>
  <c r="AH165" i="2"/>
  <c r="AN165" i="2" s="1"/>
  <c r="AN163" i="2"/>
  <c r="AN162" i="2"/>
  <c r="AN158" i="2"/>
  <c r="AN155" i="2"/>
  <c r="AM154" i="2"/>
  <c r="AM159" i="2" s="1"/>
  <c r="AL154" i="2"/>
  <c r="AL159" i="2" s="1"/>
  <c r="AH152" i="2"/>
  <c r="AM149" i="2"/>
  <c r="AL149" i="2"/>
  <c r="AK149" i="2"/>
  <c r="AJ149" i="2"/>
  <c r="AI149" i="2"/>
  <c r="AN147" i="2"/>
  <c r="AM141" i="2"/>
  <c r="AL141" i="2"/>
  <c r="AK141" i="2"/>
  <c r="AJ141" i="2"/>
  <c r="AI140" i="2"/>
  <c r="AI141" i="2" s="1"/>
  <c r="AN139" i="2"/>
  <c r="AH137" i="2"/>
  <c r="AN137" i="2" s="1"/>
  <c r="AN136" i="2"/>
  <c r="AH135" i="2"/>
  <c r="AN135" i="2" s="1"/>
  <c r="AK134" i="2"/>
  <c r="AK143" i="2" s="1"/>
  <c r="AN131" i="2"/>
  <c r="AN130" i="2"/>
  <c r="AN129" i="2"/>
  <c r="AN128" i="2"/>
  <c r="AJ127" i="2"/>
  <c r="AK126" i="2"/>
  <c r="AJ126" i="2"/>
  <c r="AL125" i="2"/>
  <c r="AL126" i="2" s="1"/>
  <c r="AK125" i="2"/>
  <c r="AJ125" i="2"/>
  <c r="AH124" i="2"/>
  <c r="AN124" i="2" s="1"/>
  <c r="AM123" i="2"/>
  <c r="AM125" i="2" s="1"/>
  <c r="AI123" i="2"/>
  <c r="AH123" i="2"/>
  <c r="AN123" i="2" s="1"/>
  <c r="AN120" i="2"/>
  <c r="AH119" i="2"/>
  <c r="AN115" i="2"/>
  <c r="AN114" i="2"/>
  <c r="AN113" i="2"/>
  <c r="AN112" i="2"/>
  <c r="AI110" i="2"/>
  <c r="AM109" i="2"/>
  <c r="AM110" i="2" s="1"/>
  <c r="AL109" i="2"/>
  <c r="AL110" i="2" s="1"/>
  <c r="AK109" i="2"/>
  <c r="AK110" i="2" s="1"/>
  <c r="AJ109" i="2"/>
  <c r="AJ110" i="2" s="1"/>
  <c r="AI109" i="2"/>
  <c r="AH108" i="2"/>
  <c r="AN108" i="2" s="1"/>
  <c r="AN107" i="2"/>
  <c r="AN106" i="2"/>
  <c r="AN105" i="2"/>
  <c r="AN104" i="2"/>
  <c r="AN103" i="2"/>
  <c r="AN102" i="2"/>
  <c r="AJ102" i="2"/>
  <c r="AN100" i="2"/>
  <c r="AH99" i="2"/>
  <c r="AN99" i="2" s="1"/>
  <c r="AH98" i="2"/>
  <c r="AN98" i="2" s="1"/>
  <c r="AH97" i="2"/>
  <c r="AN97" i="2" s="1"/>
  <c r="AN96" i="2"/>
  <c r="AH95" i="2"/>
  <c r="AN94" i="2"/>
  <c r="AH94" i="2"/>
  <c r="AN93" i="2"/>
  <c r="AM88" i="2"/>
  <c r="AL88" i="2"/>
  <c r="AK88" i="2"/>
  <c r="AJ88" i="2"/>
  <c r="AI88" i="2"/>
  <c r="AH88" i="2"/>
  <c r="AN87" i="2"/>
  <c r="AN86" i="2"/>
  <c r="AK85" i="2"/>
  <c r="AN85" i="2" s="1"/>
  <c r="AN88" i="2" s="1"/>
  <c r="AM82" i="2"/>
  <c r="AL82" i="2"/>
  <c r="AK82" i="2"/>
  <c r="AI82" i="2"/>
  <c r="AN80" i="2"/>
  <c r="AN79" i="2"/>
  <c r="AN78" i="2"/>
  <c r="AN77" i="2"/>
  <c r="AN76" i="2"/>
  <c r="Z76" i="6" s="1"/>
  <c r="AN75" i="2"/>
  <c r="AN74" i="2"/>
  <c r="AN73" i="2"/>
  <c r="AN72" i="2"/>
  <c r="AH71" i="2"/>
  <c r="AN71" i="2" s="1"/>
  <c r="AH70" i="2"/>
  <c r="AN70" i="2" s="1"/>
  <c r="AH69" i="2"/>
  <c r="AN69" i="2" s="1"/>
  <c r="AK67" i="2"/>
  <c r="AK84" i="2" s="1"/>
  <c r="AK91" i="2" s="1"/>
  <c r="AK118" i="2" s="1"/>
  <c r="AM65" i="2"/>
  <c r="AL65" i="2"/>
  <c r="AM63" i="2"/>
  <c r="AL63" i="2"/>
  <c r="AM61" i="2"/>
  <c r="AM64" i="2" s="1"/>
  <c r="AL61" i="2"/>
  <c r="AL64" i="2" s="1"/>
  <c r="AL111" i="2" s="1"/>
  <c r="AL116" i="2" s="1"/>
  <c r="AK61" i="2"/>
  <c r="AK64" i="2" s="1"/>
  <c r="AK111" i="2" s="1"/>
  <c r="AK116" i="2" s="1"/>
  <c r="AJ61" i="2"/>
  <c r="AJ64" i="2" s="1"/>
  <c r="AI61" i="2"/>
  <c r="AI64" i="2" s="1"/>
  <c r="AI111" i="2" s="1"/>
  <c r="AI116" i="2" s="1"/>
  <c r="AN60" i="2"/>
  <c r="AN59" i="2"/>
  <c r="AN58" i="2"/>
  <c r="AN57" i="2"/>
  <c r="AN56" i="2"/>
  <c r="AN55" i="2"/>
  <c r="AN54" i="2"/>
  <c r="AN53" i="2"/>
  <c r="AN52" i="2"/>
  <c r="AH51" i="2"/>
  <c r="AH101" i="2" s="1"/>
  <c r="AN101" i="2" s="1"/>
  <c r="AN50" i="2"/>
  <c r="AN49" i="2"/>
  <c r="AN48" i="2"/>
  <c r="AN47" i="2"/>
  <c r="AN46" i="2"/>
  <c r="AN45" i="2"/>
  <c r="AN44" i="2"/>
  <c r="AN43" i="2"/>
  <c r="AN42" i="2"/>
  <c r="AN41" i="2"/>
  <c r="AN40" i="2"/>
  <c r="AN39" i="2"/>
  <c r="AK38" i="2"/>
  <c r="AM36" i="2"/>
  <c r="AL36" i="2"/>
  <c r="AK36" i="2"/>
  <c r="AK154" i="2" s="1"/>
  <c r="AK159" i="2" s="1"/>
  <c r="AJ36" i="2"/>
  <c r="AJ63" i="2" s="1"/>
  <c r="AI36" i="2"/>
  <c r="AI154" i="2" s="1"/>
  <c r="AH36" i="2"/>
  <c r="AN121" i="2" s="1"/>
  <c r="AN35" i="2"/>
  <c r="AN34" i="2"/>
  <c r="AN33" i="2"/>
  <c r="AN32" i="2"/>
  <c r="AN31" i="2"/>
  <c r="AN30" i="2"/>
  <c r="AN29" i="2"/>
  <c r="AN28" i="2"/>
  <c r="AH27" i="2"/>
  <c r="AN27" i="2" s="1"/>
  <c r="AN36" i="2" s="1"/>
  <c r="AN63" i="2" s="1"/>
  <c r="AK26" i="2"/>
  <c r="AN25" i="2"/>
  <c r="AN24" i="2"/>
  <c r="AN23" i="2"/>
  <c r="AN22" i="2"/>
  <c r="AN21" i="2"/>
  <c r="AI17" i="2"/>
  <c r="AH17" i="2"/>
  <c r="AH168" i="2" s="1"/>
  <c r="AN168" i="2" s="1"/>
  <c r="AH8" i="2"/>
  <c r="AH2" i="2"/>
  <c r="AA122" i="2"/>
  <c r="Z121" i="2"/>
  <c r="BT132" i="14" l="1"/>
  <c r="AY132" i="6" s="1"/>
  <c r="E17" i="1" s="1"/>
  <c r="AY127" i="6"/>
  <c r="AN216" i="2"/>
  <c r="Z216" i="6" s="1"/>
  <c r="AN219" i="14"/>
  <c r="AA219" i="6" s="1"/>
  <c r="AA218" i="6"/>
  <c r="BT173" i="14"/>
  <c r="AP154" i="2"/>
  <c r="AP63" i="2"/>
  <c r="AP128" i="2"/>
  <c r="AV121" i="2"/>
  <c r="AP129" i="2"/>
  <c r="AV109" i="2"/>
  <c r="AQ129" i="2"/>
  <c r="AV129" i="2" s="1"/>
  <c r="AQ128" i="2"/>
  <c r="AV128" i="2" s="1"/>
  <c r="AV36" i="2"/>
  <c r="AV63" i="2" s="1"/>
  <c r="AQ63" i="2"/>
  <c r="AQ65" i="2" s="1"/>
  <c r="AQ122" i="2"/>
  <c r="AQ154" i="2"/>
  <c r="AV154" i="2" s="1"/>
  <c r="AS151" i="2"/>
  <c r="AS161" i="2" s="1"/>
  <c r="AS173" i="2" s="1"/>
  <c r="AS196" i="2" s="1"/>
  <c r="AS143" i="2"/>
  <c r="AS132" i="2"/>
  <c r="AT65" i="2"/>
  <c r="AS209" i="2"/>
  <c r="AS218" i="2" s="1"/>
  <c r="AP65" i="2"/>
  <c r="AU127" i="2"/>
  <c r="AU65" i="2"/>
  <c r="AR65" i="2"/>
  <c r="AR127" i="2"/>
  <c r="AR132" i="2" s="1"/>
  <c r="AT132" i="2"/>
  <c r="AP17" i="2"/>
  <c r="AV61" i="2"/>
  <c r="AV64" i="2" s="1"/>
  <c r="AT116" i="2"/>
  <c r="AU125" i="2"/>
  <c r="AU126" i="2" s="1"/>
  <c r="AV123" i="2"/>
  <c r="AR82" i="2"/>
  <c r="AV81" i="2"/>
  <c r="AV74" i="2"/>
  <c r="AP125" i="2"/>
  <c r="AP126" i="2" s="1"/>
  <c r="AP109" i="2"/>
  <c r="AP110" i="2" s="1"/>
  <c r="AP207" i="2"/>
  <c r="AT82" i="2"/>
  <c r="AR109" i="2"/>
  <c r="AR110" i="2" s="1"/>
  <c r="AV135" i="2"/>
  <c r="AV124" i="2"/>
  <c r="AJ194" i="2"/>
  <c r="AN181" i="2"/>
  <c r="AH3" i="2"/>
  <c r="AH145" i="2"/>
  <c r="AN145" i="2" s="1"/>
  <c r="AL132" i="2"/>
  <c r="AL209" i="2"/>
  <c r="AL218" i="2" s="1"/>
  <c r="AJ65" i="2"/>
  <c r="AJ111" i="2"/>
  <c r="AJ116" i="2"/>
  <c r="AM126" i="2"/>
  <c r="AM127" i="2"/>
  <c r="AN51" i="2"/>
  <c r="AN61" i="2" s="1"/>
  <c r="AN64" i="2" s="1"/>
  <c r="AN65" i="2" s="1"/>
  <c r="AN140" i="2"/>
  <c r="AH109" i="2"/>
  <c r="AH110" i="2" s="1"/>
  <c r="AH125" i="2"/>
  <c r="AH126" i="2" s="1"/>
  <c r="AM111" i="2"/>
  <c r="AM116" i="2" s="1"/>
  <c r="AN95" i="2"/>
  <c r="AN109" i="2" s="1"/>
  <c r="AI125" i="2"/>
  <c r="AI126" i="2" s="1"/>
  <c r="AN122" i="2"/>
  <c r="AJ132" i="2"/>
  <c r="AJ209" i="2" s="1"/>
  <c r="AN207" i="2"/>
  <c r="AN81" i="2"/>
  <c r="AK151" i="2"/>
  <c r="AK161" i="2" s="1"/>
  <c r="AK173" i="2" s="1"/>
  <c r="AK196" i="2" s="1"/>
  <c r="AN152" i="2"/>
  <c r="AL127" i="2"/>
  <c r="AH144" i="2"/>
  <c r="AH138" i="2"/>
  <c r="AH178" i="2"/>
  <c r="AH164" i="2"/>
  <c r="AH148" i="2"/>
  <c r="AN148" i="2" s="1"/>
  <c r="AH68" i="2"/>
  <c r="AI153" i="2"/>
  <c r="AH61" i="2"/>
  <c r="AH64" i="2" s="1"/>
  <c r="AH111" i="2" s="1"/>
  <c r="AJ82" i="2"/>
  <c r="AH146" i="2"/>
  <c r="AN146" i="2" s="1"/>
  <c r="AH154" i="2"/>
  <c r="AI63" i="2"/>
  <c r="AJ154" i="2"/>
  <c r="AJ159" i="2" s="1"/>
  <c r="AH63" i="2"/>
  <c r="AN119" i="2"/>
  <c r="AK63" i="2"/>
  <c r="AF122" i="2"/>
  <c r="AA74" i="2"/>
  <c r="AB81" i="2"/>
  <c r="AB181" i="2"/>
  <c r="AB194" i="2" s="1"/>
  <c r="Z193" i="2"/>
  <c r="AF196" i="2"/>
  <c r="AF173" i="2"/>
  <c r="AF161" i="2"/>
  <c r="AF151" i="2"/>
  <c r="AF143" i="2"/>
  <c r="AF134" i="2"/>
  <c r="AF118" i="2"/>
  <c r="AF91" i="2"/>
  <c r="AF84" i="2"/>
  <c r="AF67" i="2"/>
  <c r="AF38" i="2"/>
  <c r="AF26" i="2"/>
  <c r="AF220" i="2"/>
  <c r="AE220" i="2"/>
  <c r="AD220" i="2"/>
  <c r="AC220" i="2"/>
  <c r="AB220" i="2"/>
  <c r="AA220" i="2"/>
  <c r="Z220" i="2"/>
  <c r="AE216" i="2"/>
  <c r="AD216" i="2"/>
  <c r="AC216" i="2"/>
  <c r="AB216" i="2"/>
  <c r="AA216" i="2"/>
  <c r="Z216" i="2"/>
  <c r="AF215" i="2"/>
  <c r="AF214" i="2"/>
  <c r="T214" i="6" s="1"/>
  <c r="AF213" i="2"/>
  <c r="AF212" i="2"/>
  <c r="AE207" i="2"/>
  <c r="AD207" i="2"/>
  <c r="AC207" i="2"/>
  <c r="AB207" i="2"/>
  <c r="AA207" i="2"/>
  <c r="Z207" i="2"/>
  <c r="AF206" i="2"/>
  <c r="Z206" i="2"/>
  <c r="Z205" i="2"/>
  <c r="AF205" i="2" s="1"/>
  <c r="AF204" i="2"/>
  <c r="AF203" i="2"/>
  <c r="AF202" i="2"/>
  <c r="Z202" i="2"/>
  <c r="AF201" i="2"/>
  <c r="AF200" i="2"/>
  <c r="AF199" i="2"/>
  <c r="AF198" i="2"/>
  <c r="AF207" i="2" s="1"/>
  <c r="AF197" i="2"/>
  <c r="AE194" i="2"/>
  <c r="AD194" i="2"/>
  <c r="AC194" i="2"/>
  <c r="AA194" i="2"/>
  <c r="AF192" i="2"/>
  <c r="AF191" i="2"/>
  <c r="AE191" i="2"/>
  <c r="AF190" i="2"/>
  <c r="AF189" i="2"/>
  <c r="AF188" i="2"/>
  <c r="AF187" i="2"/>
  <c r="AF186" i="2"/>
  <c r="Z185" i="2"/>
  <c r="AF185" i="2" s="1"/>
  <c r="AF184" i="2"/>
  <c r="AF183" i="2"/>
  <c r="AF182" i="2"/>
  <c r="AF180" i="2"/>
  <c r="AF179" i="2"/>
  <c r="AF177" i="2"/>
  <c r="AF176" i="2"/>
  <c r="AF175" i="2"/>
  <c r="Z174" i="2"/>
  <c r="AF174" i="2" s="1"/>
  <c r="AE171" i="2"/>
  <c r="AD171" i="2"/>
  <c r="AC171" i="2"/>
  <c r="AB171" i="2"/>
  <c r="AA171" i="2"/>
  <c r="AF169" i="2"/>
  <c r="AF167" i="2"/>
  <c r="AF166" i="2"/>
  <c r="Z165" i="2"/>
  <c r="AF165" i="2" s="1"/>
  <c r="AF163" i="2"/>
  <c r="AF162" i="2"/>
  <c r="AD159" i="2"/>
  <c r="AF158" i="2"/>
  <c r="AF155" i="2"/>
  <c r="AE154" i="2"/>
  <c r="AE159" i="2" s="1"/>
  <c r="AD154" i="2"/>
  <c r="AA154" i="2"/>
  <c r="Z152" i="2"/>
  <c r="AF152" i="2" s="1"/>
  <c r="AE149" i="2"/>
  <c r="AD149" i="2"/>
  <c r="AC149" i="2"/>
  <c r="AB149" i="2"/>
  <c r="AA149" i="2"/>
  <c r="AF147" i="2"/>
  <c r="AE141" i="2"/>
  <c r="AD141" i="2"/>
  <c r="AC141" i="2"/>
  <c r="AB141" i="2"/>
  <c r="AA140" i="2"/>
  <c r="AA141" i="2" s="1"/>
  <c r="AF139" i="2"/>
  <c r="AF137" i="2"/>
  <c r="AF136" i="2"/>
  <c r="Z135" i="2"/>
  <c r="AF131" i="2"/>
  <c r="AF130" i="2"/>
  <c r="AF129" i="2"/>
  <c r="AF128" i="2"/>
  <c r="AC126" i="2"/>
  <c r="AB126" i="2"/>
  <c r="AD125" i="2"/>
  <c r="AD126" i="2" s="1"/>
  <c r="AC125" i="2"/>
  <c r="AB125" i="2"/>
  <c r="Z124" i="2"/>
  <c r="Z154" i="2" s="1"/>
  <c r="AE123" i="2"/>
  <c r="AE125" i="2" s="1"/>
  <c r="AE126" i="2" s="1"/>
  <c r="AA123" i="2"/>
  <c r="AF123" i="2" s="1"/>
  <c r="Z123" i="2"/>
  <c r="AF120" i="2"/>
  <c r="Z119" i="2"/>
  <c r="Z125" i="2" s="1"/>
  <c r="Z126" i="2" s="1"/>
  <c r="AF115" i="2"/>
  <c r="AF114" i="2"/>
  <c r="AF113" i="2"/>
  <c r="AF112" i="2"/>
  <c r="AA110" i="2"/>
  <c r="AE109" i="2"/>
  <c r="AE110" i="2" s="1"/>
  <c r="AD109" i="2"/>
  <c r="AD110" i="2" s="1"/>
  <c r="AC109" i="2"/>
  <c r="AC110" i="2" s="1"/>
  <c r="AB109" i="2"/>
  <c r="AB110" i="2" s="1"/>
  <c r="AB116" i="2" s="1"/>
  <c r="AA109" i="2"/>
  <c r="AF108" i="2"/>
  <c r="AF107" i="2"/>
  <c r="AF106" i="2"/>
  <c r="AF105" i="2"/>
  <c r="AF104" i="2"/>
  <c r="AF103" i="2"/>
  <c r="AF102" i="2"/>
  <c r="AB102" i="2"/>
  <c r="Z101" i="2"/>
  <c r="AF101" i="2" s="1"/>
  <c r="AF100" i="2"/>
  <c r="Z99" i="2"/>
  <c r="AF99" i="2" s="1"/>
  <c r="Z98" i="2"/>
  <c r="AF98" i="2" s="1"/>
  <c r="AF97" i="2"/>
  <c r="AF96" i="2"/>
  <c r="AF95" i="2"/>
  <c r="AF94" i="2"/>
  <c r="Z94" i="2"/>
  <c r="Z93" i="2"/>
  <c r="AF93" i="2" s="1"/>
  <c r="AF109" i="2" s="1"/>
  <c r="AE88" i="2"/>
  <c r="AD88" i="2"/>
  <c r="AB88" i="2"/>
  <c r="AA88" i="2"/>
  <c r="Z88" i="2"/>
  <c r="AF87" i="2"/>
  <c r="AF86" i="2"/>
  <c r="AC85" i="2"/>
  <c r="AF85" i="2" s="1"/>
  <c r="AF88" i="2" s="1"/>
  <c r="AE82" i="2"/>
  <c r="AD82" i="2"/>
  <c r="AC82" i="2"/>
  <c r="AA82" i="2"/>
  <c r="AF81" i="2"/>
  <c r="AF80" i="2"/>
  <c r="AF79" i="2"/>
  <c r="AF78" i="2"/>
  <c r="AF77" i="2"/>
  <c r="AF76" i="2"/>
  <c r="T76" i="6" s="1"/>
  <c r="AF75" i="2"/>
  <c r="AF74" i="2"/>
  <c r="AF73" i="2"/>
  <c r="AF72" i="2"/>
  <c r="AF71" i="2"/>
  <c r="Z71" i="2"/>
  <c r="Z70" i="2"/>
  <c r="AF70" i="2" s="1"/>
  <c r="AF69" i="2"/>
  <c r="Z69" i="2"/>
  <c r="AC67" i="2"/>
  <c r="AC84" i="2" s="1"/>
  <c r="AC91" i="2" s="1"/>
  <c r="AC118" i="2" s="1"/>
  <c r="AC134" i="2" s="1"/>
  <c r="AE63" i="2"/>
  <c r="AE127" i="2" s="1"/>
  <c r="AD63" i="2"/>
  <c r="AD127" i="2" s="1"/>
  <c r="AB63" i="2"/>
  <c r="AB65" i="2" s="1"/>
  <c r="AA63" i="2"/>
  <c r="AE61" i="2"/>
  <c r="AE64" i="2" s="1"/>
  <c r="AE111" i="2" s="1"/>
  <c r="AD61" i="2"/>
  <c r="AD64" i="2" s="1"/>
  <c r="AC61" i="2"/>
  <c r="AC64" i="2" s="1"/>
  <c r="AC111" i="2" s="1"/>
  <c r="AB61" i="2"/>
  <c r="AB64" i="2" s="1"/>
  <c r="AB111" i="2" s="1"/>
  <c r="AA61" i="2"/>
  <c r="AA64" i="2" s="1"/>
  <c r="Z61" i="2"/>
  <c r="Z64" i="2" s="1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61" i="2" s="1"/>
  <c r="AF64" i="2" s="1"/>
  <c r="AC38" i="2"/>
  <c r="AE36" i="2"/>
  <c r="AD36" i="2"/>
  <c r="AC36" i="2"/>
  <c r="AC63" i="2" s="1"/>
  <c r="AB36" i="2"/>
  <c r="AB154" i="2" s="1"/>
  <c r="AB159" i="2" s="1"/>
  <c r="AA36" i="2"/>
  <c r="Z36" i="2"/>
  <c r="AF121" i="2" s="1"/>
  <c r="AF35" i="2"/>
  <c r="AF34" i="2"/>
  <c r="AF33" i="2"/>
  <c r="AF32" i="2"/>
  <c r="AF31" i="2"/>
  <c r="AF30" i="2"/>
  <c r="AF36" i="2" s="1"/>
  <c r="AF63" i="2" s="1"/>
  <c r="AF65" i="2" s="1"/>
  <c r="AF29" i="2"/>
  <c r="AF28" i="2"/>
  <c r="AF27" i="2"/>
  <c r="AC26" i="2"/>
  <c r="AF25" i="2"/>
  <c r="AF24" i="2"/>
  <c r="AF23" i="2"/>
  <c r="AF22" i="2"/>
  <c r="AF21" i="2"/>
  <c r="AA17" i="2"/>
  <c r="Z17" i="2"/>
  <c r="Z146" i="2" s="1"/>
  <c r="AF146" i="2" s="1"/>
  <c r="Z3" i="2"/>
  <c r="Z2" i="2"/>
  <c r="T181" i="2"/>
  <c r="R121" i="2"/>
  <c r="S122" i="2"/>
  <c r="BT209" i="14" l="1"/>
  <c r="AY209" i="6" s="1"/>
  <c r="AF216" i="2"/>
  <c r="T216" i="6" s="1"/>
  <c r="T213" i="6"/>
  <c r="BT218" i="14"/>
  <c r="BT196" i="14"/>
  <c r="AT209" i="2"/>
  <c r="AV65" i="2"/>
  <c r="AQ125" i="2"/>
  <c r="AV122" i="2"/>
  <c r="AV125" i="2" s="1"/>
  <c r="AV110" i="2"/>
  <c r="AP146" i="2"/>
  <c r="AV146" i="2" s="1"/>
  <c r="AP138" i="2"/>
  <c r="AP68" i="2"/>
  <c r="AP164" i="2"/>
  <c r="AP148" i="2"/>
  <c r="AV148" i="2" s="1"/>
  <c r="AP178" i="2"/>
  <c r="AP145" i="2"/>
  <c r="AV145" i="2" s="1"/>
  <c r="AP212" i="2"/>
  <c r="AP168" i="2"/>
  <c r="AV168" i="2" s="1"/>
  <c r="AP144" i="2"/>
  <c r="AP111" i="2"/>
  <c r="AV111" i="2" s="1"/>
  <c r="AP127" i="2"/>
  <c r="AT218" i="2"/>
  <c r="AU132" i="2"/>
  <c r="AU209" i="2" s="1"/>
  <c r="AU218" i="2" s="1"/>
  <c r="AR111" i="2"/>
  <c r="AR116" i="2" s="1"/>
  <c r="AR209" i="2" s="1"/>
  <c r="AR218" i="2" s="1"/>
  <c r="AN125" i="2"/>
  <c r="AN68" i="2"/>
  <c r="AN82" i="2" s="1"/>
  <c r="Z82" i="6" s="1"/>
  <c r="AH157" i="2"/>
  <c r="AN157" i="2" s="1"/>
  <c r="AN193" i="2"/>
  <c r="Z193" i="6" s="1"/>
  <c r="AH82" i="2"/>
  <c r="AH170" i="2"/>
  <c r="AN170" i="2" s="1"/>
  <c r="AH156" i="2"/>
  <c r="AN156" i="2" s="1"/>
  <c r="AN159" i="2" s="1"/>
  <c r="AK127" i="2"/>
  <c r="AK132" i="2" s="1"/>
  <c r="AK209" i="2" s="1"/>
  <c r="AK218" i="2" s="1"/>
  <c r="AK65" i="2"/>
  <c r="AN164" i="2"/>
  <c r="AN171" i="2" s="1"/>
  <c r="AH171" i="2"/>
  <c r="AH127" i="2"/>
  <c r="AN127" i="2" s="1"/>
  <c r="AH65" i="2"/>
  <c r="AN178" i="2"/>
  <c r="AN138" i="2"/>
  <c r="AN141" i="2" s="1"/>
  <c r="AH141" i="2"/>
  <c r="AH149" i="2"/>
  <c r="AN144" i="2"/>
  <c r="AN149" i="2" s="1"/>
  <c r="AI127" i="2"/>
  <c r="AI65" i="2"/>
  <c r="AN154" i="2"/>
  <c r="AI132" i="2"/>
  <c r="AM132" i="2"/>
  <c r="AM209" i="2" s="1"/>
  <c r="AM218" i="2" s="1"/>
  <c r="AJ218" i="2"/>
  <c r="AN111" i="2"/>
  <c r="AN126" i="2"/>
  <c r="AI159" i="2"/>
  <c r="AN153" i="2"/>
  <c r="AH116" i="2"/>
  <c r="AN110" i="2"/>
  <c r="AN116" i="2" s="1"/>
  <c r="AF181" i="2"/>
  <c r="AB222" i="2"/>
  <c r="AD111" i="2"/>
  <c r="AD65" i="2"/>
  <c r="AB132" i="2"/>
  <c r="AB209" i="2" s="1"/>
  <c r="AC151" i="2"/>
  <c r="AC161" i="2" s="1"/>
  <c r="AC173" i="2" s="1"/>
  <c r="AC196" i="2" s="1"/>
  <c r="AC143" i="2"/>
  <c r="AE132" i="2"/>
  <c r="AE209" i="2" s="1"/>
  <c r="AE218" i="2" s="1"/>
  <c r="AC65" i="2"/>
  <c r="AC127" i="2"/>
  <c r="AC132" i="2" s="1"/>
  <c r="AC116" i="2"/>
  <c r="Z111" i="2"/>
  <c r="AF111" i="2" s="1"/>
  <c r="AD116" i="2"/>
  <c r="AA111" i="2"/>
  <c r="AA116" i="2" s="1"/>
  <c r="AA65" i="2"/>
  <c r="AE116" i="2"/>
  <c r="AD132" i="2"/>
  <c r="AD209" i="2" s="1"/>
  <c r="AD218" i="2" s="1"/>
  <c r="AA153" i="2"/>
  <c r="AF135" i="2"/>
  <c r="AF141" i="2" s="1"/>
  <c r="Z164" i="2"/>
  <c r="Z178" i="2"/>
  <c r="AC88" i="2"/>
  <c r="AF124" i="2"/>
  <c r="Z68" i="2"/>
  <c r="AF119" i="2"/>
  <c r="AF125" i="2" s="1"/>
  <c r="AA125" i="2"/>
  <c r="AA126" i="2" s="1"/>
  <c r="Z138" i="2"/>
  <c r="AF138" i="2" s="1"/>
  <c r="Z63" i="2"/>
  <c r="Z109" i="2"/>
  <c r="Z110" i="2" s="1"/>
  <c r="Z144" i="2"/>
  <c r="AC154" i="2"/>
  <c r="AC159" i="2" s="1"/>
  <c r="AC209" i="2" s="1"/>
  <c r="AE65" i="2"/>
  <c r="Z148" i="2"/>
  <c r="AF148" i="2" s="1"/>
  <c r="AB82" i="2"/>
  <c r="AB127" i="2"/>
  <c r="Z145" i="2"/>
  <c r="AF145" i="2" s="1"/>
  <c r="Z168" i="2"/>
  <c r="AF168" i="2" s="1"/>
  <c r="AF140" i="2"/>
  <c r="T81" i="2"/>
  <c r="S74" i="2"/>
  <c r="X196" i="2"/>
  <c r="X173" i="2"/>
  <c r="X161" i="2"/>
  <c r="X151" i="2"/>
  <c r="X143" i="2"/>
  <c r="X134" i="2"/>
  <c r="X118" i="2"/>
  <c r="X91" i="2"/>
  <c r="X84" i="2"/>
  <c r="X67" i="2"/>
  <c r="X38" i="2"/>
  <c r="X26" i="2"/>
  <c r="X220" i="2"/>
  <c r="W220" i="2"/>
  <c r="V220" i="2"/>
  <c r="U220" i="2"/>
  <c r="T220" i="2"/>
  <c r="S220" i="2"/>
  <c r="R220" i="2"/>
  <c r="W216" i="2"/>
  <c r="V216" i="2"/>
  <c r="U216" i="2"/>
  <c r="T216" i="2"/>
  <c r="S216" i="2"/>
  <c r="R216" i="2"/>
  <c r="X215" i="2"/>
  <c r="X214" i="2"/>
  <c r="N214" i="6" s="1"/>
  <c r="X213" i="2"/>
  <c r="N213" i="6" s="1"/>
  <c r="X212" i="2"/>
  <c r="W207" i="2"/>
  <c r="V207" i="2"/>
  <c r="U207" i="2"/>
  <c r="T207" i="2"/>
  <c r="S207" i="2"/>
  <c r="R206" i="2"/>
  <c r="X206" i="2" s="1"/>
  <c r="R205" i="2"/>
  <c r="X205" i="2" s="1"/>
  <c r="X204" i="2"/>
  <c r="X203" i="2"/>
  <c r="X202" i="2"/>
  <c r="R202" i="2"/>
  <c r="X201" i="2"/>
  <c r="X200" i="2"/>
  <c r="R199" i="2"/>
  <c r="X199" i="2" s="1"/>
  <c r="X198" i="2"/>
  <c r="X197" i="2"/>
  <c r="W194" i="2"/>
  <c r="V194" i="2"/>
  <c r="U194" i="2"/>
  <c r="S194" i="2"/>
  <c r="X192" i="2"/>
  <c r="W191" i="2"/>
  <c r="X191" i="2" s="1"/>
  <c r="X190" i="2"/>
  <c r="X189" i="2"/>
  <c r="X188" i="2"/>
  <c r="X187" i="2"/>
  <c r="X186" i="2"/>
  <c r="X185" i="2"/>
  <c r="R185" i="2"/>
  <c r="X184" i="2"/>
  <c r="X183" i="2"/>
  <c r="X182" i="2"/>
  <c r="T194" i="2"/>
  <c r="X180" i="2"/>
  <c r="X179" i="2"/>
  <c r="X177" i="2"/>
  <c r="X176" i="2"/>
  <c r="X175" i="2"/>
  <c r="R174" i="2"/>
  <c r="W171" i="2"/>
  <c r="V171" i="2"/>
  <c r="U171" i="2"/>
  <c r="T171" i="2"/>
  <c r="S171" i="2"/>
  <c r="X169" i="2"/>
  <c r="X167" i="2"/>
  <c r="X166" i="2"/>
  <c r="X165" i="2"/>
  <c r="R165" i="2"/>
  <c r="R163" i="2"/>
  <c r="X162" i="2"/>
  <c r="X158" i="2"/>
  <c r="X155" i="2"/>
  <c r="W154" i="2"/>
  <c r="W159" i="2" s="1"/>
  <c r="V154" i="2"/>
  <c r="V159" i="2" s="1"/>
  <c r="U154" i="2"/>
  <c r="U159" i="2" s="1"/>
  <c r="R152" i="2"/>
  <c r="W149" i="2"/>
  <c r="V149" i="2"/>
  <c r="U149" i="2"/>
  <c r="T149" i="2"/>
  <c r="S149" i="2"/>
  <c r="X147" i="2"/>
  <c r="W141" i="2"/>
  <c r="V141" i="2"/>
  <c r="U141" i="2"/>
  <c r="T141" i="2"/>
  <c r="S140" i="2"/>
  <c r="S141" i="2" s="1"/>
  <c r="X139" i="2"/>
  <c r="X137" i="2"/>
  <c r="X136" i="2"/>
  <c r="R135" i="2"/>
  <c r="X135" i="2" s="1"/>
  <c r="X131" i="2"/>
  <c r="X130" i="2"/>
  <c r="X129" i="2"/>
  <c r="X128" i="2"/>
  <c r="W125" i="2"/>
  <c r="W126" i="2" s="1"/>
  <c r="V125" i="2"/>
  <c r="V126" i="2" s="1"/>
  <c r="U125" i="2"/>
  <c r="U126" i="2" s="1"/>
  <c r="T125" i="2"/>
  <c r="T126" i="2" s="1"/>
  <c r="X124" i="2"/>
  <c r="R124" i="2"/>
  <c r="W123" i="2"/>
  <c r="S123" i="2"/>
  <c r="R123" i="2"/>
  <c r="X123" i="2" s="1"/>
  <c r="X120" i="2"/>
  <c r="X119" i="2"/>
  <c r="X115" i="2"/>
  <c r="X114" i="2"/>
  <c r="X113" i="2"/>
  <c r="W110" i="2"/>
  <c r="V110" i="2"/>
  <c r="U110" i="2"/>
  <c r="U116" i="2" s="1"/>
  <c r="W109" i="2"/>
  <c r="V109" i="2"/>
  <c r="U109" i="2"/>
  <c r="T109" i="2"/>
  <c r="T110" i="2" s="1"/>
  <c r="S109" i="2"/>
  <c r="S110" i="2" s="1"/>
  <c r="R109" i="2"/>
  <c r="R110" i="2" s="1"/>
  <c r="X108" i="2"/>
  <c r="X107" i="2"/>
  <c r="X106" i="2"/>
  <c r="X105" i="2"/>
  <c r="X104" i="2"/>
  <c r="X103" i="2"/>
  <c r="T102" i="2"/>
  <c r="X102" i="2" s="1"/>
  <c r="R101" i="2"/>
  <c r="X101" i="2" s="1"/>
  <c r="R100" i="2"/>
  <c r="X100" i="2" s="1"/>
  <c r="R99" i="2"/>
  <c r="X99" i="2" s="1"/>
  <c r="R98" i="2"/>
  <c r="X98" i="2" s="1"/>
  <c r="X97" i="2"/>
  <c r="X96" i="2"/>
  <c r="X95" i="2"/>
  <c r="R94" i="2"/>
  <c r="X94" i="2" s="1"/>
  <c r="R93" i="2"/>
  <c r="X93" i="2" s="1"/>
  <c r="U91" i="2"/>
  <c r="U118" i="2" s="1"/>
  <c r="U134" i="2" s="1"/>
  <c r="U151" i="2" s="1"/>
  <c r="U161" i="2" s="1"/>
  <c r="U173" i="2" s="1"/>
  <c r="U196" i="2" s="1"/>
  <c r="W88" i="2"/>
  <c r="V88" i="2"/>
  <c r="T88" i="2"/>
  <c r="S88" i="2"/>
  <c r="R88" i="2"/>
  <c r="X87" i="2"/>
  <c r="X86" i="2"/>
  <c r="U85" i="2"/>
  <c r="U88" i="2" s="1"/>
  <c r="U84" i="2"/>
  <c r="W82" i="2"/>
  <c r="V82" i="2"/>
  <c r="U82" i="2"/>
  <c r="S82" i="2"/>
  <c r="X80" i="2"/>
  <c r="X79" i="2"/>
  <c r="X78" i="2"/>
  <c r="X77" i="2"/>
  <c r="X76" i="2"/>
  <c r="N76" i="6" s="1"/>
  <c r="X75" i="2"/>
  <c r="X74" i="2"/>
  <c r="X73" i="2"/>
  <c r="X72" i="2"/>
  <c r="R71" i="2"/>
  <c r="X71" i="2" s="1"/>
  <c r="R70" i="2"/>
  <c r="X70" i="2" s="1"/>
  <c r="R69" i="2"/>
  <c r="X69" i="2" s="1"/>
  <c r="U67" i="2"/>
  <c r="W64" i="2"/>
  <c r="W111" i="2" s="1"/>
  <c r="V64" i="2"/>
  <c r="V111" i="2" s="1"/>
  <c r="T64" i="2"/>
  <c r="S64" i="2"/>
  <c r="W61" i="2"/>
  <c r="V61" i="2"/>
  <c r="U61" i="2"/>
  <c r="U64" i="2" s="1"/>
  <c r="U111" i="2" s="1"/>
  <c r="T61" i="2"/>
  <c r="S61" i="2"/>
  <c r="R61" i="2"/>
  <c r="R64" i="2" s="1"/>
  <c r="R111" i="2" s="1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61" i="2" s="1"/>
  <c r="X64" i="2" s="1"/>
  <c r="X42" i="2"/>
  <c r="X41" i="2"/>
  <c r="X40" i="2"/>
  <c r="X39" i="2"/>
  <c r="U38" i="2"/>
  <c r="W36" i="2"/>
  <c r="W63" i="2" s="1"/>
  <c r="V36" i="2"/>
  <c r="V63" i="2" s="1"/>
  <c r="U36" i="2"/>
  <c r="U63" i="2" s="1"/>
  <c r="T36" i="2"/>
  <c r="T63" i="2" s="1"/>
  <c r="S36" i="2"/>
  <c r="R36" i="2"/>
  <c r="R154" i="2" s="1"/>
  <c r="X35" i="2"/>
  <c r="X34" i="2"/>
  <c r="X33" i="2"/>
  <c r="X32" i="2"/>
  <c r="X31" i="2"/>
  <c r="X30" i="2"/>
  <c r="X29" i="2"/>
  <c r="X28" i="2"/>
  <c r="X27" i="2"/>
  <c r="X36" i="2" s="1"/>
  <c r="X63" i="2" s="1"/>
  <c r="U26" i="2"/>
  <c r="X25" i="2"/>
  <c r="X24" i="2"/>
  <c r="X23" i="2"/>
  <c r="X22" i="2"/>
  <c r="X21" i="2"/>
  <c r="S17" i="2"/>
  <c r="R8" i="2"/>
  <c r="R7" i="2"/>
  <c r="R4" i="2"/>
  <c r="R17" i="2" s="1"/>
  <c r="R3" i="2"/>
  <c r="R2" i="2"/>
  <c r="J193" i="2"/>
  <c r="L81" i="2"/>
  <c r="X216" i="2" l="1"/>
  <c r="N216" i="6" s="1"/>
  <c r="D26" i="1"/>
  <c r="BT219" i="14"/>
  <c r="AY219" i="6" s="1"/>
  <c r="AY218" i="6"/>
  <c r="AQ159" i="2"/>
  <c r="AV153" i="2"/>
  <c r="AP116" i="2"/>
  <c r="AV164" i="2"/>
  <c r="AV171" i="2" s="1"/>
  <c r="AP171" i="2"/>
  <c r="AP156" i="2"/>
  <c r="AP170" i="2"/>
  <c r="AV170" i="2" s="1"/>
  <c r="AP82" i="2"/>
  <c r="AV68" i="2"/>
  <c r="AV82" i="2" s="1"/>
  <c r="AP157" i="2"/>
  <c r="AV157" i="2" s="1"/>
  <c r="AV138" i="2"/>
  <c r="AV141" i="2" s="1"/>
  <c r="AP141" i="2"/>
  <c r="AV116" i="2"/>
  <c r="AV144" i="2"/>
  <c r="AV149" i="2" s="1"/>
  <c r="AP149" i="2"/>
  <c r="AP132" i="2"/>
  <c r="AP216" i="2"/>
  <c r="AV212" i="2"/>
  <c r="AV216" i="2" s="1"/>
  <c r="AQ126" i="2"/>
  <c r="AQ127" i="2"/>
  <c r="AV127" i="2" s="1"/>
  <c r="AP194" i="2"/>
  <c r="AV178" i="2"/>
  <c r="AV194" i="2" s="1"/>
  <c r="AI209" i="2"/>
  <c r="AI218" i="2" s="1"/>
  <c r="AN132" i="2"/>
  <c r="AH132" i="2"/>
  <c r="AH159" i="2"/>
  <c r="AH194" i="2"/>
  <c r="AN194" i="2"/>
  <c r="Z194" i="6" s="1"/>
  <c r="AF178" i="2"/>
  <c r="Z171" i="2"/>
  <c r="AF164" i="2"/>
  <c r="AF171" i="2" s="1"/>
  <c r="AF144" i="2"/>
  <c r="AF149" i="2" s="1"/>
  <c r="Z149" i="2"/>
  <c r="AF154" i="2"/>
  <c r="AA127" i="2"/>
  <c r="AA132" i="2" s="1"/>
  <c r="AC218" i="2"/>
  <c r="AF126" i="2"/>
  <c r="Z65" i="2"/>
  <c r="Z127" i="2"/>
  <c r="Z116" i="2"/>
  <c r="AF110" i="2"/>
  <c r="AF116" i="2" s="1"/>
  <c r="Z82" i="2"/>
  <c r="Z170" i="2"/>
  <c r="AF170" i="2" s="1"/>
  <c r="Z156" i="2"/>
  <c r="AF193" i="2"/>
  <c r="AF68" i="2"/>
  <c r="AF82" i="2" s="1"/>
  <c r="T82" i="6" s="1"/>
  <c r="Z157" i="2"/>
  <c r="AF157" i="2" s="1"/>
  <c r="AF153" i="2"/>
  <c r="AA159" i="2"/>
  <c r="AB218" i="2"/>
  <c r="Z141" i="2"/>
  <c r="S154" i="2"/>
  <c r="S63" i="2"/>
  <c r="T65" i="2"/>
  <c r="T127" i="2"/>
  <c r="T154" i="2"/>
  <c r="T159" i="2" s="1"/>
  <c r="X65" i="2"/>
  <c r="V65" i="2"/>
  <c r="V127" i="2"/>
  <c r="X109" i="2"/>
  <c r="V116" i="2"/>
  <c r="R68" i="2"/>
  <c r="R178" i="2"/>
  <c r="X178" i="2" s="1"/>
  <c r="R164" i="2"/>
  <c r="X164" i="2" s="1"/>
  <c r="S153" i="2"/>
  <c r="R148" i="2"/>
  <c r="X148" i="2" s="1"/>
  <c r="R146" i="2"/>
  <c r="X146" i="2" s="1"/>
  <c r="R168" i="2"/>
  <c r="X168" i="2" s="1"/>
  <c r="R145" i="2"/>
  <c r="X145" i="2" s="1"/>
  <c r="W65" i="2"/>
  <c r="W127" i="2"/>
  <c r="W132" i="2" s="1"/>
  <c r="W116" i="2"/>
  <c r="U143" i="2"/>
  <c r="R144" i="2"/>
  <c r="X112" i="2"/>
  <c r="T132" i="2"/>
  <c r="U132" i="2"/>
  <c r="U209" i="2" s="1"/>
  <c r="U218" i="2" s="1"/>
  <c r="V132" i="2"/>
  <c r="R138" i="2"/>
  <c r="X207" i="2"/>
  <c r="U65" i="2"/>
  <c r="U127" i="2"/>
  <c r="R116" i="2"/>
  <c r="X110" i="2"/>
  <c r="R63" i="2"/>
  <c r="X181" i="2"/>
  <c r="X85" i="2"/>
  <c r="X88" i="2" s="1"/>
  <c r="X140" i="2"/>
  <c r="S111" i="2"/>
  <c r="X111" i="2" s="1"/>
  <c r="X81" i="2"/>
  <c r="T111" i="2"/>
  <c r="T116" i="2" s="1"/>
  <c r="X174" i="2"/>
  <c r="X152" i="2"/>
  <c r="R207" i="2"/>
  <c r="T82" i="2"/>
  <c r="X163" i="2"/>
  <c r="W209" i="2" l="1"/>
  <c r="W218" i="2" s="1"/>
  <c r="V209" i="2"/>
  <c r="V218" i="2" s="1"/>
  <c r="AV156" i="2"/>
  <c r="AP159" i="2"/>
  <c r="AV159" i="2"/>
  <c r="AP209" i="2"/>
  <c r="AP218" i="2" s="1"/>
  <c r="AQ132" i="2"/>
  <c r="AV126" i="2"/>
  <c r="AV132" i="2" s="1"/>
  <c r="AQ209" i="2"/>
  <c r="AQ218" i="2" s="1"/>
  <c r="AN209" i="2"/>
  <c r="AH209" i="2"/>
  <c r="AH218" i="2" s="1"/>
  <c r="AF194" i="2"/>
  <c r="AA209" i="2"/>
  <c r="AA218" i="2" s="1"/>
  <c r="AF156" i="2"/>
  <c r="Z159" i="2"/>
  <c r="AF159" i="2"/>
  <c r="AF127" i="2"/>
  <c r="AF132" i="2" s="1"/>
  <c r="Z132" i="2"/>
  <c r="Z194" i="2"/>
  <c r="Z209" i="2" s="1"/>
  <c r="Z218" i="2" s="1"/>
  <c r="T209" i="2"/>
  <c r="T218" i="2" s="1"/>
  <c r="X116" i="2"/>
  <c r="R149" i="2"/>
  <c r="X144" i="2"/>
  <c r="X149" i="2" s="1"/>
  <c r="X153" i="2"/>
  <c r="S159" i="2"/>
  <c r="R65" i="2"/>
  <c r="R157" i="2"/>
  <c r="X157" i="2" s="1"/>
  <c r="R170" i="2"/>
  <c r="X170" i="2" s="1"/>
  <c r="X171" i="2" s="1"/>
  <c r="R82" i="2"/>
  <c r="R156" i="2"/>
  <c r="X68" i="2"/>
  <c r="X82" i="2" s="1"/>
  <c r="N82" i="6" s="1"/>
  <c r="X154" i="2"/>
  <c r="S65" i="2"/>
  <c r="R171" i="2"/>
  <c r="S116" i="2"/>
  <c r="X122" i="2"/>
  <c r="S125" i="2"/>
  <c r="S126" i="2" s="1"/>
  <c r="R125" i="2"/>
  <c r="R126" i="2" s="1"/>
  <c r="X121" i="2"/>
  <c r="R141" i="2"/>
  <c r="X138" i="2"/>
  <c r="X141" i="2" s="1"/>
  <c r="AN218" i="2" l="1"/>
  <c r="Z209" i="6"/>
  <c r="AV209" i="2"/>
  <c r="AV218" i="2" s="1"/>
  <c r="AV219" i="2" s="1"/>
  <c r="AF209" i="2"/>
  <c r="AF218" i="2" s="1"/>
  <c r="R127" i="2"/>
  <c r="R132" i="2" s="1"/>
  <c r="S127" i="2"/>
  <c r="S132" i="2" s="1"/>
  <c r="S209" i="2" s="1"/>
  <c r="S218" i="2" s="1"/>
  <c r="X125" i="2"/>
  <c r="X126" i="2"/>
  <c r="X193" i="2"/>
  <c r="X194" i="2" s="1"/>
  <c r="R194" i="2"/>
  <c r="X156" i="2"/>
  <c r="X159" i="2" s="1"/>
  <c r="R159" i="2"/>
  <c r="P196" i="2"/>
  <c r="P173" i="2"/>
  <c r="P161" i="2"/>
  <c r="P151" i="2"/>
  <c r="P143" i="2"/>
  <c r="P134" i="2"/>
  <c r="P118" i="2"/>
  <c r="P91" i="2"/>
  <c r="P84" i="2"/>
  <c r="P67" i="2"/>
  <c r="P38" i="2"/>
  <c r="P26" i="2"/>
  <c r="M246" i="2"/>
  <c r="P220" i="2"/>
  <c r="O220" i="2"/>
  <c r="N220" i="2"/>
  <c r="M220" i="2"/>
  <c r="L220" i="2"/>
  <c r="K220" i="2"/>
  <c r="J220" i="2"/>
  <c r="P216" i="2"/>
  <c r="O216" i="2"/>
  <c r="N216" i="2"/>
  <c r="M216" i="2"/>
  <c r="L216" i="2"/>
  <c r="K216" i="2"/>
  <c r="J216" i="2"/>
  <c r="P215" i="2"/>
  <c r="P214" i="2"/>
  <c r="P213" i="2"/>
  <c r="P212" i="2"/>
  <c r="O207" i="2"/>
  <c r="N207" i="2"/>
  <c r="M207" i="2"/>
  <c r="L207" i="2"/>
  <c r="K207" i="2"/>
  <c r="J206" i="2"/>
  <c r="P206" i="2" s="1"/>
  <c r="J205" i="2"/>
  <c r="P204" i="2"/>
  <c r="P203" i="2"/>
  <c r="P202" i="2"/>
  <c r="J202" i="2"/>
  <c r="P201" i="2"/>
  <c r="P200" i="2"/>
  <c r="P199" i="2"/>
  <c r="P198" i="2"/>
  <c r="P197" i="2"/>
  <c r="O194" i="2"/>
  <c r="N194" i="2"/>
  <c r="M194" i="2"/>
  <c r="K194" i="2"/>
  <c r="P192" i="2"/>
  <c r="O191" i="2"/>
  <c r="P191" i="2" s="1"/>
  <c r="P190" i="2"/>
  <c r="P189" i="2"/>
  <c r="P188" i="2"/>
  <c r="P187" i="2"/>
  <c r="P186" i="2"/>
  <c r="J185" i="2"/>
  <c r="P185" i="2" s="1"/>
  <c r="P184" i="2"/>
  <c r="P183" i="2"/>
  <c r="P182" i="2"/>
  <c r="L181" i="2"/>
  <c r="P181" i="2" s="1"/>
  <c r="L180" i="2"/>
  <c r="P179" i="2"/>
  <c r="P177" i="2"/>
  <c r="P176" i="2"/>
  <c r="P175" i="2"/>
  <c r="J174" i="2"/>
  <c r="O171" i="2"/>
  <c r="N171" i="2"/>
  <c r="M171" i="2"/>
  <c r="L171" i="2"/>
  <c r="K171" i="2"/>
  <c r="P169" i="2"/>
  <c r="P167" i="2"/>
  <c r="P166" i="2"/>
  <c r="J165" i="2"/>
  <c r="P165" i="2" s="1"/>
  <c r="P163" i="2"/>
  <c r="P162" i="2"/>
  <c r="P158" i="2"/>
  <c r="P155" i="2"/>
  <c r="O154" i="2"/>
  <c r="O159" i="2" s="1"/>
  <c r="N154" i="2"/>
  <c r="N159" i="2" s="1"/>
  <c r="M154" i="2"/>
  <c r="M159" i="2" s="1"/>
  <c r="J152" i="2"/>
  <c r="P152" i="2" s="1"/>
  <c r="O149" i="2"/>
  <c r="N149" i="2"/>
  <c r="M149" i="2"/>
  <c r="L149" i="2"/>
  <c r="K149" i="2"/>
  <c r="P147" i="2"/>
  <c r="J144" i="2"/>
  <c r="P144" i="2" s="1"/>
  <c r="O141" i="2"/>
  <c r="N141" i="2"/>
  <c r="M141" i="2"/>
  <c r="L141" i="2"/>
  <c r="K140" i="2"/>
  <c r="K141" i="2" s="1"/>
  <c r="P139" i="2"/>
  <c r="J138" i="2"/>
  <c r="P138" i="2" s="1"/>
  <c r="J137" i="2"/>
  <c r="J141" i="2" s="1"/>
  <c r="P136" i="2"/>
  <c r="J135" i="2"/>
  <c r="P135" i="2" s="1"/>
  <c r="P131" i="2"/>
  <c r="P130" i="2"/>
  <c r="P129" i="2"/>
  <c r="P128" i="2"/>
  <c r="O126" i="2"/>
  <c r="O125" i="2"/>
  <c r="N125" i="2"/>
  <c r="N126" i="2" s="1"/>
  <c r="M125" i="2"/>
  <c r="M126" i="2" s="1"/>
  <c r="L125" i="2"/>
  <c r="L126" i="2" s="1"/>
  <c r="P124" i="2"/>
  <c r="J124" i="2"/>
  <c r="O123" i="2"/>
  <c r="K123" i="2"/>
  <c r="J123" i="2"/>
  <c r="P123" i="2" s="1"/>
  <c r="J120" i="2"/>
  <c r="P120" i="2" s="1"/>
  <c r="P119" i="2"/>
  <c r="J119" i="2"/>
  <c r="P115" i="2"/>
  <c r="P114" i="2"/>
  <c r="P113" i="2"/>
  <c r="P112" i="2"/>
  <c r="O110" i="2"/>
  <c r="N110" i="2"/>
  <c r="O109" i="2"/>
  <c r="N109" i="2"/>
  <c r="M109" i="2"/>
  <c r="M110" i="2" s="1"/>
  <c r="L109" i="2"/>
  <c r="L110" i="2" s="1"/>
  <c r="K109" i="2"/>
  <c r="K110" i="2" s="1"/>
  <c r="K116" i="2" s="1"/>
  <c r="P108" i="2"/>
  <c r="J108" i="2"/>
  <c r="J107" i="2"/>
  <c r="P107" i="2" s="1"/>
  <c r="K106" i="2"/>
  <c r="P106" i="2" s="1"/>
  <c r="K105" i="2"/>
  <c r="P105" i="2" s="1"/>
  <c r="K104" i="2"/>
  <c r="P104" i="2" s="1"/>
  <c r="P103" i="2"/>
  <c r="L102" i="2"/>
  <c r="P102" i="2" s="1"/>
  <c r="J100" i="2"/>
  <c r="P100" i="2" s="1"/>
  <c r="J99" i="2"/>
  <c r="P99" i="2" s="1"/>
  <c r="J98" i="2"/>
  <c r="P98" i="2" s="1"/>
  <c r="J97" i="2"/>
  <c r="P97" i="2" s="1"/>
  <c r="J96" i="2"/>
  <c r="J109" i="2" s="1"/>
  <c r="J110" i="2" s="1"/>
  <c r="P95" i="2"/>
  <c r="J95" i="2"/>
  <c r="J94" i="2"/>
  <c r="P94" i="2" s="1"/>
  <c r="J93" i="2"/>
  <c r="P93" i="2" s="1"/>
  <c r="P88" i="2"/>
  <c r="O88" i="2"/>
  <c r="N88" i="2"/>
  <c r="M88" i="2"/>
  <c r="L88" i="2"/>
  <c r="K88" i="2"/>
  <c r="J88" i="2"/>
  <c r="P87" i="2"/>
  <c r="P86" i="2"/>
  <c r="P85" i="2"/>
  <c r="O82" i="2"/>
  <c r="N82" i="2"/>
  <c r="M82" i="2"/>
  <c r="L82" i="2"/>
  <c r="K82" i="2"/>
  <c r="P81" i="2"/>
  <c r="L80" i="2"/>
  <c r="P80" i="2" s="1"/>
  <c r="P79" i="2"/>
  <c r="P78" i="2"/>
  <c r="P77" i="2"/>
  <c r="P76" i="2"/>
  <c r="H76" i="6" s="1"/>
  <c r="P75" i="2"/>
  <c r="P74" i="2"/>
  <c r="K74" i="2"/>
  <c r="P73" i="2"/>
  <c r="P72" i="2"/>
  <c r="J71" i="2"/>
  <c r="P71" i="2" s="1"/>
  <c r="J70" i="2"/>
  <c r="P70" i="2" s="1"/>
  <c r="J69" i="2"/>
  <c r="P69" i="2" s="1"/>
  <c r="J68" i="2"/>
  <c r="M67" i="2"/>
  <c r="M84" i="2" s="1"/>
  <c r="M91" i="2" s="1"/>
  <c r="M118" i="2" s="1"/>
  <c r="M134" i="2" s="1"/>
  <c r="M151" i="2" s="1"/>
  <c r="M161" i="2" s="1"/>
  <c r="M173" i="2" s="1"/>
  <c r="M196" i="2" s="1"/>
  <c r="O64" i="2"/>
  <c r="O111" i="2" s="1"/>
  <c r="M64" i="2"/>
  <c r="M111" i="2" s="1"/>
  <c r="L64" i="2"/>
  <c r="O61" i="2"/>
  <c r="N61" i="2"/>
  <c r="N64" i="2" s="1"/>
  <c r="N111" i="2" s="1"/>
  <c r="M61" i="2"/>
  <c r="L61" i="2"/>
  <c r="K61" i="2"/>
  <c r="K64" i="2" s="1"/>
  <c r="K111" i="2" s="1"/>
  <c r="J61" i="2"/>
  <c r="J64" i="2" s="1"/>
  <c r="P60" i="2"/>
  <c r="P59" i="2"/>
  <c r="P58" i="2"/>
  <c r="P57" i="2"/>
  <c r="P56" i="2"/>
  <c r="P55" i="2"/>
  <c r="P54" i="2"/>
  <c r="P53" i="2"/>
  <c r="P52" i="2"/>
  <c r="J51" i="2"/>
  <c r="J101" i="2" s="1"/>
  <c r="P101" i="2" s="1"/>
  <c r="P50" i="2"/>
  <c r="P49" i="2"/>
  <c r="P48" i="2"/>
  <c r="P47" i="2"/>
  <c r="P46" i="2"/>
  <c r="P45" i="2"/>
  <c r="P44" i="2"/>
  <c r="P43" i="2"/>
  <c r="P42" i="2"/>
  <c r="P41" i="2"/>
  <c r="P40" i="2"/>
  <c r="P39" i="2"/>
  <c r="M38" i="2"/>
  <c r="O36" i="2"/>
  <c r="O63" i="2" s="1"/>
  <c r="N36" i="2"/>
  <c r="N63" i="2" s="1"/>
  <c r="M36" i="2"/>
  <c r="M63" i="2" s="1"/>
  <c r="L36" i="2"/>
  <c r="L63" i="2" s="1"/>
  <c r="K36" i="2"/>
  <c r="J36" i="2"/>
  <c r="J121" i="2" s="1"/>
  <c r="P35" i="2"/>
  <c r="P34" i="2"/>
  <c r="P33" i="2"/>
  <c r="P32" i="2"/>
  <c r="P31" i="2"/>
  <c r="P30" i="2"/>
  <c r="P29" i="2"/>
  <c r="P28" i="2"/>
  <c r="P27" i="2"/>
  <c r="M26" i="2"/>
  <c r="P25" i="2"/>
  <c r="P24" i="2"/>
  <c r="P23" i="2"/>
  <c r="P22" i="2"/>
  <c r="P21" i="2"/>
  <c r="K17" i="2"/>
  <c r="J9" i="2"/>
  <c r="J8" i="2"/>
  <c r="J7" i="2"/>
  <c r="J6" i="2"/>
  <c r="J5" i="2"/>
  <c r="J4" i="2"/>
  <c r="J17" i="2" s="1"/>
  <c r="J3" i="2"/>
  <c r="J2" i="2"/>
  <c r="AF219" i="2" l="1"/>
  <c r="T219" i="6" s="1"/>
  <c r="T218" i="6"/>
  <c r="AN219" i="2"/>
  <c r="Z219" i="6" s="1"/>
  <c r="Z218" i="6"/>
  <c r="X127" i="2"/>
  <c r="R209" i="2"/>
  <c r="R218" i="2" s="1"/>
  <c r="X132" i="2"/>
  <c r="X209" i="2" s="1"/>
  <c r="X218" i="2" s="1"/>
  <c r="J125" i="2"/>
  <c r="J126" i="2" s="1"/>
  <c r="P121" i="2"/>
  <c r="P110" i="2"/>
  <c r="J111" i="2"/>
  <c r="P207" i="2"/>
  <c r="L132" i="2"/>
  <c r="N65" i="2"/>
  <c r="N127" i="2"/>
  <c r="N132" i="2" s="1"/>
  <c r="O116" i="2"/>
  <c r="O65" i="2"/>
  <c r="O127" i="2"/>
  <c r="O132" i="2" s="1"/>
  <c r="P137" i="2"/>
  <c r="J82" i="2"/>
  <c r="J170" i="2"/>
  <c r="P170" i="2" s="1"/>
  <c r="P193" i="2"/>
  <c r="J157" i="2"/>
  <c r="P157" i="2" s="1"/>
  <c r="J156" i="2"/>
  <c r="P156" i="2" s="1"/>
  <c r="P96" i="2"/>
  <c r="P109" i="2" s="1"/>
  <c r="L194" i="2"/>
  <c r="P180" i="2"/>
  <c r="P68" i="2"/>
  <c r="P82" i="2" s="1"/>
  <c r="H82" i="6" s="1"/>
  <c r="J207" i="2"/>
  <c r="P205" i="2"/>
  <c r="L116" i="2"/>
  <c r="J63" i="2"/>
  <c r="M116" i="2"/>
  <c r="K122" i="2"/>
  <c r="K63" i="2"/>
  <c r="L111" i="2"/>
  <c r="M132" i="2"/>
  <c r="J154" i="2"/>
  <c r="J178" i="2"/>
  <c r="P178" i="2" s="1"/>
  <c r="J164" i="2"/>
  <c r="J146" i="2"/>
  <c r="P146" i="2" s="1"/>
  <c r="J168" i="2"/>
  <c r="P168" i="2" s="1"/>
  <c r="J145" i="2"/>
  <c r="P145" i="2" s="1"/>
  <c r="P149" i="2" s="1"/>
  <c r="K153" i="2"/>
  <c r="J148" i="2"/>
  <c r="P148" i="2" s="1"/>
  <c r="L65" i="2"/>
  <c r="L127" i="2"/>
  <c r="K154" i="2"/>
  <c r="P36" i="2"/>
  <c r="P63" i="2" s="1"/>
  <c r="M65" i="2"/>
  <c r="M127" i="2"/>
  <c r="N116" i="2"/>
  <c r="M143" i="2"/>
  <c r="L154" i="2"/>
  <c r="L159" i="2" s="1"/>
  <c r="P174" i="2"/>
  <c r="P51" i="2"/>
  <c r="P61" i="2" s="1"/>
  <c r="P64" i="2" s="1"/>
  <c r="L222" i="2"/>
  <c r="P140" i="2"/>
  <c r="P141" i="2" s="1"/>
  <c r="BR126" i="2"/>
  <c r="BO126" i="2"/>
  <c r="BO110" i="2"/>
  <c r="BN154" i="2"/>
  <c r="BT154" i="2" s="1"/>
  <c r="BW154" i="2" s="1"/>
  <c r="B4" i="12"/>
  <c r="G4" i="12" s="1"/>
  <c r="A220" i="2"/>
  <c r="C104" i="11"/>
  <c r="D93" i="11"/>
  <c r="D86" i="11"/>
  <c r="D83" i="11"/>
  <c r="E82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E68" i="11"/>
  <c r="D68" i="11"/>
  <c r="E64" i="11"/>
  <c r="E65" i="11" s="1"/>
  <c r="D62" i="11"/>
  <c r="D61" i="11"/>
  <c r="D60" i="11"/>
  <c r="D59" i="11"/>
  <c r="D58" i="11"/>
  <c r="L4" i="11"/>
  <c r="L6" i="11" s="1"/>
  <c r="L8" i="11" s="1"/>
  <c r="F47" i="11"/>
  <c r="E47" i="11"/>
  <c r="D47" i="11"/>
  <c r="C47" i="11"/>
  <c r="E44" i="11"/>
  <c r="D44" i="11"/>
  <c r="C44" i="11"/>
  <c r="E39" i="11"/>
  <c r="E41" i="11" s="1"/>
  <c r="E46" i="11" s="1"/>
  <c r="D41" i="11"/>
  <c r="D46" i="11" s="1"/>
  <c r="C41" i="11"/>
  <c r="C46" i="11" s="1"/>
  <c r="D27" i="11"/>
  <c r="C27" i="11"/>
  <c r="F22" i="11"/>
  <c r="E22" i="11"/>
  <c r="D22" i="11"/>
  <c r="C22" i="11"/>
  <c r="G20" i="11"/>
  <c r="F20" i="11"/>
  <c r="E20" i="11"/>
  <c r="D20" i="11"/>
  <c r="C20" i="11"/>
  <c r="F4" i="11"/>
  <c r="E4" i="11"/>
  <c r="D4" i="11"/>
  <c r="C4" i="11"/>
  <c r="G7" i="12" l="1"/>
  <c r="X219" i="2"/>
  <c r="N219" i="6" s="1"/>
  <c r="N218" i="6"/>
  <c r="BR127" i="2"/>
  <c r="BR132" i="2" s="1"/>
  <c r="BR209" i="2" s="1"/>
  <c r="BR218" i="2" s="1"/>
  <c r="BO111" i="2"/>
  <c r="BO116" i="2" s="1"/>
  <c r="BN129" i="2"/>
  <c r="BT129" i="2" s="1"/>
  <c r="BN128" i="2"/>
  <c r="BT128" i="2" s="1"/>
  <c r="B11" i="12"/>
  <c r="C4" i="12" s="1"/>
  <c r="D4" i="12" s="1"/>
  <c r="N209" i="2"/>
  <c r="N218" i="2" s="1"/>
  <c r="M209" i="2"/>
  <c r="M218" i="2" s="1"/>
  <c r="O209" i="2"/>
  <c r="O218" i="2" s="1"/>
  <c r="P65" i="2"/>
  <c r="P154" i="2"/>
  <c r="J159" i="2"/>
  <c r="P111" i="2"/>
  <c r="P116" i="2" s="1"/>
  <c r="K65" i="2"/>
  <c r="P194" i="2"/>
  <c r="P153" i="2"/>
  <c r="P159" i="2" s="1"/>
  <c r="K159" i="2"/>
  <c r="P122" i="2"/>
  <c r="P125" i="2" s="1"/>
  <c r="K125" i="2"/>
  <c r="K126" i="2" s="1"/>
  <c r="J194" i="2"/>
  <c r="J116" i="2"/>
  <c r="J171" i="2"/>
  <c r="P164" i="2"/>
  <c r="P171" i="2" s="1"/>
  <c r="L209" i="2"/>
  <c r="L218" i="2" s="1"/>
  <c r="J65" i="2"/>
  <c r="J127" i="2"/>
  <c r="J149" i="2"/>
  <c r="BO127" i="2"/>
  <c r="BO132" i="2" s="1"/>
  <c r="BN164" i="2"/>
  <c r="BT164" i="2" s="1"/>
  <c r="BW164" i="2" s="1"/>
  <c r="BO153" i="2"/>
  <c r="BN68" i="2"/>
  <c r="BN144" i="2"/>
  <c r="BT144" i="2" s="1"/>
  <c r="BW144" i="2" s="1"/>
  <c r="BN138" i="2"/>
  <c r="BN121" i="2"/>
  <c r="BN110" i="2"/>
  <c r="E84" i="11"/>
  <c r="E87" i="11" s="1"/>
  <c r="D65" i="11"/>
  <c r="E85" i="11"/>
  <c r="D85" i="11" s="1"/>
  <c r="F44" i="11"/>
  <c r="F39" i="11"/>
  <c r="F41" i="11" s="1"/>
  <c r="F46" i="11" s="1"/>
  <c r="BW128" i="2" l="1"/>
  <c r="AX128" i="6"/>
  <c r="BW129" i="2"/>
  <c r="AX129" i="6"/>
  <c r="H5" i="12"/>
  <c r="H6" i="12"/>
  <c r="H4" i="12"/>
  <c r="BN111" i="2"/>
  <c r="BN116" i="2" s="1"/>
  <c r="BT121" i="2"/>
  <c r="BN125" i="2"/>
  <c r="BT138" i="2"/>
  <c r="BN141" i="2"/>
  <c r="BN168" i="2"/>
  <c r="BT168" i="2" s="1"/>
  <c r="BW168" i="2" s="1"/>
  <c r="BN146" i="2"/>
  <c r="BO159" i="2"/>
  <c r="BO209" i="2" s="1"/>
  <c r="BO218" i="2" s="1"/>
  <c r="BT153" i="2"/>
  <c r="BW153" i="2" s="1"/>
  <c r="BN145" i="2"/>
  <c r="BT145" i="2" s="1"/>
  <c r="BN148" i="2"/>
  <c r="BT148" i="2" s="1"/>
  <c r="BW148" i="2" s="1"/>
  <c r="BN178" i="2"/>
  <c r="BT178" i="2" s="1"/>
  <c r="BW178" i="2" s="1"/>
  <c r="C5" i="12"/>
  <c r="D5" i="12" s="1"/>
  <c r="C10" i="12"/>
  <c r="D10" i="12" s="1"/>
  <c r="C9" i="12"/>
  <c r="D9" i="12" s="1"/>
  <c r="C8" i="12"/>
  <c r="D8" i="12" s="1"/>
  <c r="C7" i="12"/>
  <c r="D7" i="12" s="1"/>
  <c r="C6" i="12"/>
  <c r="D6" i="12" s="1"/>
  <c r="BT68" i="2"/>
  <c r="BN82" i="2"/>
  <c r="P126" i="2"/>
  <c r="J132" i="2"/>
  <c r="J209" i="2" s="1"/>
  <c r="J218" i="2" s="1"/>
  <c r="K127" i="2"/>
  <c r="P127" i="2" s="1"/>
  <c r="BN156" i="2"/>
  <c r="BN193" i="2"/>
  <c r="E89" i="11"/>
  <c r="D87" i="11"/>
  <c r="J5" i="12" l="1"/>
  <c r="K5" i="12"/>
  <c r="L5" i="12"/>
  <c r="M5" i="12"/>
  <c r="J6" i="12"/>
  <c r="K6" i="12"/>
  <c r="L6" i="12"/>
  <c r="M6" i="12"/>
  <c r="I6" i="12"/>
  <c r="BP110" i="2"/>
  <c r="BP111" i="2"/>
  <c r="BT111" i="2" s="1"/>
  <c r="BW111" i="2" s="1"/>
  <c r="BW121" i="2"/>
  <c r="BT125" i="2"/>
  <c r="BW145" i="2"/>
  <c r="BN149" i="2"/>
  <c r="BT146" i="2"/>
  <c r="BW146" i="2" s="1"/>
  <c r="BT141" i="2"/>
  <c r="BW141" i="2" s="1"/>
  <c r="BW138" i="2"/>
  <c r="BN194" i="2"/>
  <c r="BT193" i="2"/>
  <c r="AX193" i="6" s="1"/>
  <c r="BT156" i="2"/>
  <c r="BN170" i="2"/>
  <c r="BN157" i="2"/>
  <c r="BT157" i="2" s="1"/>
  <c r="BW157" i="2" s="1"/>
  <c r="BW68" i="2"/>
  <c r="BT82" i="2"/>
  <c r="AX82" i="6" s="1"/>
  <c r="P132" i="2"/>
  <c r="P209" i="2" s="1"/>
  <c r="P218" i="2" s="1"/>
  <c r="K132" i="2"/>
  <c r="K209" i="2" s="1"/>
  <c r="K218" i="2" s="1"/>
  <c r="BN126" i="2"/>
  <c r="E91" i="11"/>
  <c r="D91" i="11" s="1"/>
  <c r="D89" i="11"/>
  <c r="BW125" i="2" l="1"/>
  <c r="AX125" i="6"/>
  <c r="D16" i="1" s="1"/>
  <c r="P219" i="2"/>
  <c r="H219" i="6" s="1"/>
  <c r="H218" i="6"/>
  <c r="BN159" i="2"/>
  <c r="BP116" i="2"/>
  <c r="BP209" i="2" s="1"/>
  <c r="BP218" i="2" s="1"/>
  <c r="BT110" i="2"/>
  <c r="BN127" i="2"/>
  <c r="BT127" i="2" s="1"/>
  <c r="BT126" i="2"/>
  <c r="AX126" i="6" s="1"/>
  <c r="BN132" i="2"/>
  <c r="BT149" i="2"/>
  <c r="BW149" i="2" s="1"/>
  <c r="BT170" i="2"/>
  <c r="BN171" i="2"/>
  <c r="BW156" i="2"/>
  <c r="BT159" i="2"/>
  <c r="BW159" i="2" s="1"/>
  <c r="BU193" i="2"/>
  <c r="BW193" i="2"/>
  <c r="BT194" i="2"/>
  <c r="AX194" i="6" s="1"/>
  <c r="D20" i="1" s="1"/>
  <c r="BW82" i="2"/>
  <c r="E95" i="11"/>
  <c r="D95" i="11" s="1"/>
  <c r="BW127" i="2" l="1"/>
  <c r="AX127" i="6"/>
  <c r="BN209" i="2"/>
  <c r="BN218" i="2" s="1"/>
  <c r="BW110" i="2"/>
  <c r="BT116" i="2"/>
  <c r="BW116" i="2" s="1"/>
  <c r="BT132" i="2"/>
  <c r="BW126" i="2"/>
  <c r="BW194" i="2"/>
  <c r="BW170" i="2"/>
  <c r="BT171" i="2"/>
  <c r="BW171" i="2" s="1"/>
  <c r="D8" i="9"/>
  <c r="D7" i="9"/>
  <c r="C7" i="9"/>
  <c r="E7" i="9" s="1"/>
  <c r="E9" i="9" s="1"/>
  <c r="A56" i="8"/>
  <c r="C54" i="8" s="1"/>
  <c r="E51" i="8"/>
  <c r="C50" i="8"/>
  <c r="J49" i="8"/>
  <c r="C49" i="8"/>
  <c r="C48" i="8"/>
  <c r="Q41" i="8"/>
  <c r="P41" i="8"/>
  <c r="N41" i="8"/>
  <c r="M41" i="8"/>
  <c r="R41" i="8" s="1"/>
  <c r="Q40" i="8"/>
  <c r="P40" i="8"/>
  <c r="N40" i="8"/>
  <c r="M40" i="8"/>
  <c r="R40" i="8" s="1"/>
  <c r="Q39" i="8"/>
  <c r="P39" i="8"/>
  <c r="N39" i="8"/>
  <c r="M39" i="8"/>
  <c r="R39" i="8" s="1"/>
  <c r="Q38" i="8"/>
  <c r="P38" i="8"/>
  <c r="N38" i="8"/>
  <c r="M38" i="8"/>
  <c r="R38" i="8" s="1"/>
  <c r="J38" i="8"/>
  <c r="Q37" i="8"/>
  <c r="P37" i="8"/>
  <c r="N37" i="8"/>
  <c r="M37" i="8"/>
  <c r="R37" i="8" s="1"/>
  <c r="I37" i="8"/>
  <c r="H37" i="8"/>
  <c r="J37" i="8" s="1"/>
  <c r="Q36" i="8"/>
  <c r="P36" i="8"/>
  <c r="N36" i="8"/>
  <c r="M36" i="8"/>
  <c r="R36" i="8" s="1"/>
  <c r="I36" i="8"/>
  <c r="H36" i="8"/>
  <c r="J36" i="8" s="1"/>
  <c r="C36" i="8"/>
  <c r="E36" i="8" s="1"/>
  <c r="Q35" i="8"/>
  <c r="P35" i="8"/>
  <c r="N35" i="8"/>
  <c r="M35" i="8"/>
  <c r="R35" i="8" s="1"/>
  <c r="I35" i="8"/>
  <c r="H35" i="8"/>
  <c r="D35" i="8"/>
  <c r="C35" i="8"/>
  <c r="E35" i="8" s="1"/>
  <c r="Q34" i="8"/>
  <c r="P34" i="8"/>
  <c r="N34" i="8"/>
  <c r="M34" i="8"/>
  <c r="I34" i="8"/>
  <c r="H34" i="8"/>
  <c r="J34" i="8" s="1"/>
  <c r="D34" i="8"/>
  <c r="C34" i="8"/>
  <c r="E34" i="8" s="1"/>
  <c r="Q33" i="8"/>
  <c r="P33" i="8"/>
  <c r="N33" i="8"/>
  <c r="M33" i="8"/>
  <c r="R33" i="8" s="1"/>
  <c r="I33" i="8"/>
  <c r="H33" i="8"/>
  <c r="J33" i="8" s="1"/>
  <c r="D33" i="8"/>
  <c r="C33" i="8"/>
  <c r="E33" i="8" s="1"/>
  <c r="Q32" i="8"/>
  <c r="P32" i="8"/>
  <c r="N32" i="8"/>
  <c r="M32" i="8"/>
  <c r="R32" i="8" s="1"/>
  <c r="I32" i="8"/>
  <c r="H32" i="8"/>
  <c r="J32" i="8" s="1"/>
  <c r="D32" i="8"/>
  <c r="E32" i="8" s="1"/>
  <c r="C32" i="8"/>
  <c r="Q31" i="8"/>
  <c r="P31" i="8"/>
  <c r="N31" i="8"/>
  <c r="M31" i="8"/>
  <c r="R31" i="8" s="1"/>
  <c r="I31" i="8"/>
  <c r="H31" i="8"/>
  <c r="J31" i="8" s="1"/>
  <c r="D31" i="8"/>
  <c r="C31" i="8"/>
  <c r="E31" i="8" s="1"/>
  <c r="Q30" i="8"/>
  <c r="P30" i="8"/>
  <c r="N30" i="8"/>
  <c r="M30" i="8"/>
  <c r="I30" i="8"/>
  <c r="H30" i="8"/>
  <c r="J30" i="8" s="1"/>
  <c r="D30" i="8"/>
  <c r="C30" i="8"/>
  <c r="E30" i="8" s="1"/>
  <c r="Q29" i="8"/>
  <c r="P29" i="8"/>
  <c r="N29" i="8"/>
  <c r="M29" i="8"/>
  <c r="R29" i="8" s="1"/>
  <c r="I29" i="8"/>
  <c r="H29" i="8"/>
  <c r="J29" i="8" s="1"/>
  <c r="D29" i="8"/>
  <c r="C29" i="8"/>
  <c r="E29" i="8" s="1"/>
  <c r="Q28" i="8"/>
  <c r="P28" i="8"/>
  <c r="N28" i="8"/>
  <c r="M28" i="8"/>
  <c r="I28" i="8"/>
  <c r="H28" i="8"/>
  <c r="J28" i="8" s="1"/>
  <c r="D28" i="8"/>
  <c r="C28" i="8"/>
  <c r="E28" i="8" s="1"/>
  <c r="Q27" i="8"/>
  <c r="R27" i="8" s="1"/>
  <c r="P27" i="8"/>
  <c r="N27" i="8"/>
  <c r="M27" i="8"/>
  <c r="I27" i="8"/>
  <c r="H27" i="8"/>
  <c r="J27" i="8" s="1"/>
  <c r="D27" i="8"/>
  <c r="C27" i="8"/>
  <c r="E27" i="8" s="1"/>
  <c r="Q26" i="8"/>
  <c r="P26" i="8"/>
  <c r="N26" i="8"/>
  <c r="M26" i="8"/>
  <c r="I26" i="8"/>
  <c r="H26" i="8"/>
  <c r="D26" i="8"/>
  <c r="C26" i="8"/>
  <c r="E26" i="8" s="1"/>
  <c r="Q25" i="8"/>
  <c r="P25" i="8"/>
  <c r="N25" i="8"/>
  <c r="M25" i="8"/>
  <c r="R25" i="8" s="1"/>
  <c r="I25" i="8"/>
  <c r="H25" i="8"/>
  <c r="J25" i="8" s="1"/>
  <c r="D25" i="8"/>
  <c r="C25" i="8"/>
  <c r="E25" i="8" s="1"/>
  <c r="Q24" i="8"/>
  <c r="P24" i="8"/>
  <c r="N24" i="8"/>
  <c r="M24" i="8"/>
  <c r="I24" i="8"/>
  <c r="H24" i="8"/>
  <c r="J24" i="8" s="1"/>
  <c r="D24" i="8"/>
  <c r="C24" i="8"/>
  <c r="E24" i="8" s="1"/>
  <c r="Q23" i="8"/>
  <c r="P23" i="8"/>
  <c r="N23" i="8"/>
  <c r="M23" i="8"/>
  <c r="I23" i="8"/>
  <c r="H23" i="8"/>
  <c r="D23" i="8"/>
  <c r="C23" i="8"/>
  <c r="E23" i="8" s="1"/>
  <c r="Q22" i="8"/>
  <c r="P22" i="8"/>
  <c r="N22" i="8"/>
  <c r="M22" i="8"/>
  <c r="R22" i="8" s="1"/>
  <c r="I22" i="8"/>
  <c r="H22" i="8"/>
  <c r="J22" i="8" s="1"/>
  <c r="D22" i="8"/>
  <c r="C22" i="8"/>
  <c r="Q21" i="8"/>
  <c r="P21" i="8"/>
  <c r="N21" i="8"/>
  <c r="M21" i="8"/>
  <c r="R21" i="8" s="1"/>
  <c r="I21" i="8"/>
  <c r="H21" i="8"/>
  <c r="J21" i="8" s="1"/>
  <c r="D21" i="8"/>
  <c r="C21" i="8"/>
  <c r="E21" i="8" s="1"/>
  <c r="Q20" i="8"/>
  <c r="P20" i="8"/>
  <c r="N20" i="8"/>
  <c r="M20" i="8"/>
  <c r="I20" i="8"/>
  <c r="H20" i="8"/>
  <c r="J20" i="8" s="1"/>
  <c r="D20" i="8"/>
  <c r="C20" i="8"/>
  <c r="Q19" i="8"/>
  <c r="P19" i="8"/>
  <c r="N19" i="8"/>
  <c r="M19" i="8"/>
  <c r="R19" i="8" s="1"/>
  <c r="I19" i="8"/>
  <c r="H19" i="8"/>
  <c r="J19" i="8" s="1"/>
  <c r="D19" i="8"/>
  <c r="C19" i="8"/>
  <c r="E19" i="8" s="1"/>
  <c r="Q18" i="8"/>
  <c r="P18" i="8"/>
  <c r="N18" i="8"/>
  <c r="M18" i="8"/>
  <c r="R18" i="8" s="1"/>
  <c r="I18" i="8"/>
  <c r="H18" i="8"/>
  <c r="J18" i="8" s="1"/>
  <c r="D18" i="8"/>
  <c r="C18" i="8"/>
  <c r="E18" i="8" s="1"/>
  <c r="Q17" i="8"/>
  <c r="R17" i="8" s="1"/>
  <c r="P17" i="8"/>
  <c r="N17" i="8"/>
  <c r="D28" i="9" s="1"/>
  <c r="M17" i="8"/>
  <c r="C28" i="9" s="1"/>
  <c r="E28" i="9" s="1"/>
  <c r="I17" i="8"/>
  <c r="H17" i="8"/>
  <c r="J17" i="8" s="1"/>
  <c r="D17" i="8"/>
  <c r="C17" i="8"/>
  <c r="E17" i="8" s="1"/>
  <c r="Q16" i="8"/>
  <c r="P16" i="8"/>
  <c r="N16" i="8"/>
  <c r="D22" i="9" s="1"/>
  <c r="M16" i="8"/>
  <c r="C22" i="9" s="1"/>
  <c r="E22" i="9" s="1"/>
  <c r="E24" i="9" s="1"/>
  <c r="I16" i="8"/>
  <c r="H16" i="8"/>
  <c r="D16" i="8"/>
  <c r="C16" i="8"/>
  <c r="Q15" i="8"/>
  <c r="P15" i="8"/>
  <c r="N15" i="8"/>
  <c r="D17" i="9" s="1"/>
  <c r="M15" i="8"/>
  <c r="C17" i="9" s="1"/>
  <c r="E17" i="9" s="1"/>
  <c r="E19" i="9" s="1"/>
  <c r="I15" i="8"/>
  <c r="H15" i="8"/>
  <c r="J15" i="8" s="1"/>
  <c r="D15" i="8"/>
  <c r="C15" i="8"/>
  <c r="E15" i="8" s="1"/>
  <c r="Q14" i="8"/>
  <c r="R14" i="8" s="1"/>
  <c r="P14" i="8"/>
  <c r="N14" i="8"/>
  <c r="M14" i="8"/>
  <c r="C12" i="9" s="1"/>
  <c r="I14" i="8"/>
  <c r="H14" i="8"/>
  <c r="J14" i="8" s="1"/>
  <c r="D14" i="8"/>
  <c r="C14" i="8"/>
  <c r="E14" i="8" s="1"/>
  <c r="Q13" i="8"/>
  <c r="P13" i="8"/>
  <c r="N13" i="8"/>
  <c r="D12" i="9" s="1"/>
  <c r="M13" i="8"/>
  <c r="R13" i="8" s="1"/>
  <c r="I13" i="8"/>
  <c r="H13" i="8"/>
  <c r="D13" i="8"/>
  <c r="E54" i="8" s="1"/>
  <c r="F54" i="8" s="1"/>
  <c r="C13" i="8"/>
  <c r="D54" i="8" s="1"/>
  <c r="Q12" i="8"/>
  <c r="N12" i="8"/>
  <c r="M12" i="8"/>
  <c r="R12" i="8" s="1"/>
  <c r="I12" i="8"/>
  <c r="H12" i="8"/>
  <c r="D12" i="8"/>
  <c r="C12" i="8"/>
  <c r="E12" i="8" s="1"/>
  <c r="Q11" i="8"/>
  <c r="N11" i="8"/>
  <c r="M11" i="8"/>
  <c r="I11" i="8"/>
  <c r="H11" i="8"/>
  <c r="J11" i="8" s="1"/>
  <c r="D11" i="8"/>
  <c r="C11" i="8"/>
  <c r="E11" i="8" s="1"/>
  <c r="Q10" i="8"/>
  <c r="N10" i="8"/>
  <c r="R10" i="8" s="1"/>
  <c r="I10" i="8"/>
  <c r="H10" i="8"/>
  <c r="J10" i="8" s="1"/>
  <c r="D10" i="8"/>
  <c r="C10" i="8"/>
  <c r="E10" i="8" s="1"/>
  <c r="Q9" i="8"/>
  <c r="N9" i="8"/>
  <c r="I9" i="8"/>
  <c r="H9" i="8"/>
  <c r="J9" i="8" s="1"/>
  <c r="D9" i="8"/>
  <c r="C9" i="8"/>
  <c r="E9" i="8" s="1"/>
  <c r="Q8" i="8"/>
  <c r="N8" i="8"/>
  <c r="I8" i="8"/>
  <c r="H8" i="8"/>
  <c r="J8" i="8" s="1"/>
  <c r="D8" i="8"/>
  <c r="C8" i="8"/>
  <c r="E8" i="8" s="1"/>
  <c r="J7" i="8"/>
  <c r="D7" i="8"/>
  <c r="C7" i="8"/>
  <c r="D6" i="8"/>
  <c r="C6" i="8"/>
  <c r="E35" i="1"/>
  <c r="F35" i="1" s="1"/>
  <c r="G35" i="1" s="1"/>
  <c r="H35" i="1" s="1"/>
  <c r="D7" i="1"/>
  <c r="H6" i="1"/>
  <c r="BW132" i="2" l="1"/>
  <c r="AX132" i="6"/>
  <c r="D17" i="1" s="1"/>
  <c r="R15" i="8"/>
  <c r="E20" i="8"/>
  <c r="R24" i="8"/>
  <c r="R28" i="8"/>
  <c r="R34" i="8"/>
  <c r="I44" i="8"/>
  <c r="J35" i="8"/>
  <c r="R20" i="8"/>
  <c r="C55" i="8"/>
  <c r="E55" i="8" s="1"/>
  <c r="R26" i="8"/>
  <c r="R16" i="8"/>
  <c r="N44" i="8"/>
  <c r="J12" i="8"/>
  <c r="E14" i="9"/>
  <c r="R9" i="8"/>
  <c r="J13" i="8"/>
  <c r="J16" i="8"/>
  <c r="E22" i="8"/>
  <c r="J23" i="8"/>
  <c r="J26" i="8"/>
  <c r="R30" i="8"/>
  <c r="K12" i="1"/>
  <c r="E7" i="1"/>
  <c r="J11" i="1"/>
  <c r="H7" i="1"/>
  <c r="K10" i="1"/>
  <c r="G13" i="1"/>
  <c r="D13" i="1"/>
  <c r="J10" i="1"/>
  <c r="E31" i="1"/>
  <c r="J12" i="1"/>
  <c r="BT209" i="2"/>
  <c r="AX209" i="6" s="1"/>
  <c r="M12" i="1"/>
  <c r="L10" i="1"/>
  <c r="H13" i="1"/>
  <c r="M10" i="1"/>
  <c r="D22" i="1"/>
  <c r="E22" i="1"/>
  <c r="H22" i="1"/>
  <c r="F31" i="1"/>
  <c r="M11" i="1"/>
  <c r="G31" i="1"/>
  <c r="K11" i="1"/>
  <c r="L11" i="1"/>
  <c r="H31" i="1"/>
  <c r="L12" i="1"/>
  <c r="F22" i="1"/>
  <c r="F7" i="1"/>
  <c r="G7" i="1"/>
  <c r="D31" i="1"/>
  <c r="J44" i="8"/>
  <c r="D44" i="8"/>
  <c r="R8" i="8"/>
  <c r="E6" i="8"/>
  <c r="C44" i="8"/>
  <c r="E7" i="8"/>
  <c r="J46" i="8"/>
  <c r="E53" i="8"/>
  <c r="R23" i="8"/>
  <c r="H44" i="8"/>
  <c r="D55" i="8"/>
  <c r="F55" i="8" s="1"/>
  <c r="Q44" i="8"/>
  <c r="P44" i="8"/>
  <c r="R11" i="8"/>
  <c r="T11" i="8" s="1"/>
  <c r="M44" i="8"/>
  <c r="E16" i="8"/>
  <c r="C53" i="8"/>
  <c r="D53" i="8"/>
  <c r="E13" i="8"/>
  <c r="E6" i="1"/>
  <c r="E13" i="1"/>
  <c r="G6" i="1"/>
  <c r="F13" i="1"/>
  <c r="G22" i="1"/>
  <c r="F6" i="1"/>
  <c r="N31" i="1" l="1"/>
  <c r="N21" i="1"/>
  <c r="N16" i="1"/>
  <c r="N20" i="1"/>
  <c r="N19" i="1"/>
  <c r="N18" i="1"/>
  <c r="N17" i="1"/>
  <c r="M31" i="1"/>
  <c r="M16" i="1"/>
  <c r="M21" i="1"/>
  <c r="M20" i="1"/>
  <c r="M17" i="1"/>
  <c r="M19" i="1"/>
  <c r="M18" i="1"/>
  <c r="L31" i="1"/>
  <c r="L21" i="1"/>
  <c r="L16" i="1"/>
  <c r="L20" i="1"/>
  <c r="L18" i="1"/>
  <c r="L19" i="1"/>
  <c r="L17" i="1"/>
  <c r="K31" i="1"/>
  <c r="K21" i="1"/>
  <c r="K16" i="1"/>
  <c r="K18" i="1"/>
  <c r="K20" i="1"/>
  <c r="K19" i="1"/>
  <c r="K17" i="1"/>
  <c r="G24" i="1"/>
  <c r="G33" i="1" s="1"/>
  <c r="C56" i="8"/>
  <c r="H24" i="1"/>
  <c r="H33" i="1" s="1"/>
  <c r="D24" i="1"/>
  <c r="D36" i="1" s="1"/>
  <c r="F24" i="1"/>
  <c r="F36" i="1" s="1"/>
  <c r="E24" i="1"/>
  <c r="E40" i="1" s="1"/>
  <c r="BW209" i="2"/>
  <c r="BT218" i="2"/>
  <c r="E56" i="8"/>
  <c r="F53" i="8"/>
  <c r="R46" i="8"/>
  <c r="R44" i="8"/>
  <c r="D56" i="8"/>
  <c r="E46" i="8"/>
  <c r="U46" i="8" s="1"/>
  <c r="E44" i="8"/>
  <c r="N22" i="1" l="1"/>
  <c r="M22" i="1"/>
  <c r="F33" i="1"/>
  <c r="L22" i="1"/>
  <c r="K22" i="1"/>
  <c r="H40" i="1"/>
  <c r="H36" i="1"/>
  <c r="F40" i="1"/>
  <c r="E33" i="1"/>
  <c r="E36" i="1"/>
  <c r="D33" i="1"/>
  <c r="D40" i="1"/>
  <c r="G36" i="1"/>
  <c r="G40" i="1"/>
  <c r="BT219" i="2"/>
  <c r="AX219" i="6" s="1"/>
  <c r="AX218" i="6"/>
  <c r="E57" i="8"/>
  <c r="F56" i="8"/>
  <c r="D41" i="1" l="1"/>
  <c r="E39" i="1" s="1"/>
  <c r="E41" i="1" s="1"/>
  <c r="E42" i="1" l="1"/>
  <c r="D42" i="1"/>
  <c r="F39" i="1"/>
  <c r="F41" i="1" s="1"/>
  <c r="F42" i="1" l="1"/>
  <c r="G39" i="1"/>
  <c r="G41" i="1" s="1"/>
  <c r="H39" i="1" l="1"/>
  <c r="H41" i="1" s="1"/>
  <c r="G42" i="1"/>
  <c r="H42" i="1" l="1"/>
</calcChain>
</file>

<file path=xl/sharedStrings.xml><?xml version="1.0" encoding="utf-8"?>
<sst xmlns="http://schemas.openxmlformats.org/spreadsheetml/2006/main" count="4622" uniqueCount="403">
  <si>
    <t>Financial Forecast</t>
  </si>
  <si>
    <t>Budgeted</t>
  </si>
  <si>
    <t>Projected</t>
  </si>
  <si>
    <t>Fiscal Year</t>
  </si>
  <si>
    <t>2025-2026</t>
  </si>
  <si>
    <t>2026-2027</t>
  </si>
  <si>
    <t>2027-2028</t>
  </si>
  <si>
    <t>2028-2029</t>
  </si>
  <si>
    <t>2029-2030</t>
  </si>
  <si>
    <r>
      <t xml:space="preserve">Actual/Projected Enrollment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</si>
  <si>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t>Average State Revenue per Student</t>
  </si>
  <si>
    <t>Average Federal Revenue per Student</t>
  </si>
  <si>
    <t>Revenues</t>
  </si>
  <si>
    <t>State Revenue</t>
  </si>
  <si>
    <t>Federal Revenue</t>
  </si>
  <si>
    <t>Other Revenue</t>
  </si>
  <si>
    <t>Total Revenues</t>
  </si>
  <si>
    <t>Expenses</t>
  </si>
  <si>
    <t xml:space="preserve">Salaries and Wages </t>
  </si>
  <si>
    <t xml:space="preserve">Benefits and Related </t>
  </si>
  <si>
    <t>Materials Equipment and Supplies</t>
  </si>
  <si>
    <t xml:space="preserve">Purchased Services </t>
  </si>
  <si>
    <t>General Operations and Other</t>
  </si>
  <si>
    <t>Facilities and Building Expenditures</t>
  </si>
  <si>
    <r>
      <t xml:space="preserve">Total Expenses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</si>
  <si>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>Net Available for Debt Service</t>
  </si>
  <si>
    <r>
      <t xml:space="preserve">Total Net Debt Service Payments </t>
    </r>
    <r>
      <rPr>
        <b/>
        <vertAlign val="superscript"/>
        <sz val="11"/>
        <color theme="1"/>
        <rFont val="Aptos Narrow"/>
        <family val="2"/>
        <scheme val="minor"/>
      </rPr>
      <t>(3)</t>
    </r>
  </si>
  <si>
    <t>Debt Service Coverage (Annual Debt Service)</t>
  </si>
  <si>
    <r>
      <t xml:space="preserve">Maximum Annual Debt Service </t>
    </r>
    <r>
      <rPr>
        <vertAlign val="superscript"/>
        <sz val="11"/>
        <color theme="1"/>
        <rFont val="Aptos Narrow"/>
        <family val="2"/>
        <scheme val="minor"/>
      </rPr>
      <t>(4)</t>
    </r>
  </si>
  <si>
    <t>Debt Service Coverage (MADS)</t>
  </si>
  <si>
    <t>Days Cash on Hand Calculation</t>
  </si>
  <si>
    <t>Beginning Cash and Receivables - All Funds</t>
  </si>
  <si>
    <t>Surplus / (Deficit) Net of Debt Service</t>
  </si>
  <si>
    <r>
      <t xml:space="preserve">Ending Unrestricted Cash </t>
    </r>
    <r>
      <rPr>
        <b/>
        <vertAlign val="superscript"/>
        <sz val="11"/>
        <color theme="1"/>
        <rFont val="Aptos Narrow"/>
        <family val="2"/>
        <scheme val="minor"/>
      </rPr>
      <t>(5)</t>
    </r>
  </si>
  <si>
    <t xml:space="preserve">Days Cash on Hand </t>
  </si>
  <si>
    <t>Assumptions:</t>
  </si>
  <si>
    <t>Average Annual Growth Rates:</t>
  </si>
  <si>
    <t>State Revenue per Student: 1.50%</t>
  </si>
  <si>
    <t>Federal Revenue per Student: 0.9%</t>
  </si>
  <si>
    <t>Salary &amp; Wages Expense: 1.0%</t>
  </si>
  <si>
    <t>Footnotes:</t>
  </si>
  <si>
    <t xml:space="preserve">2. Depreciation excluded from total expenses. </t>
  </si>
  <si>
    <t xml:space="preserve">3. Debt service payments reflects monthly payments to the trustee. </t>
  </si>
  <si>
    <t>4. MADS is calculated using combined semi-annual fiscal year payments on the Bonds.</t>
  </si>
  <si>
    <t xml:space="preserve">Pinecrest - System </t>
  </si>
  <si>
    <t>Pinecrest Academy of Nevada - Horizon/St.Rose/Inspirada</t>
  </si>
  <si>
    <t>Pinecrest Academy of Nevada - Cadence</t>
  </si>
  <si>
    <t>Pinecrest Academy of Nevada - Sloan Canyon</t>
  </si>
  <si>
    <t>Series 2018AB Lease Schedule</t>
  </si>
  <si>
    <t>Series 2020AB Lease Schedule</t>
  </si>
  <si>
    <t>Series 2020AB-1 Lease Schedule</t>
  </si>
  <si>
    <t>A-1</t>
  </si>
  <si>
    <t>A-2</t>
  </si>
  <si>
    <t>Principal</t>
  </si>
  <si>
    <t>Interest</t>
  </si>
  <si>
    <t>Total Debt Service</t>
  </si>
  <si>
    <t>Total Loan Payments:</t>
  </si>
  <si>
    <t>MADS:</t>
  </si>
  <si>
    <t>MADS Total:</t>
  </si>
  <si>
    <t>Horizon</t>
  </si>
  <si>
    <t>Cadence</t>
  </si>
  <si>
    <t>Sloan Canyon</t>
  </si>
  <si>
    <t>St. Rose</t>
  </si>
  <si>
    <t>Inspirada</t>
  </si>
  <si>
    <t>P</t>
  </si>
  <si>
    <t>I</t>
  </si>
  <si>
    <t>T</t>
  </si>
  <si>
    <t>A-2 (Re)</t>
  </si>
  <si>
    <t>FY26</t>
  </si>
  <si>
    <t>Pinecrest Springs Campus</t>
  </si>
  <si>
    <t>26-27</t>
  </si>
  <si>
    <t>27-28</t>
  </si>
  <si>
    <t>28-29</t>
  </si>
  <si>
    <t>29-30</t>
  </si>
  <si>
    <t>Classroom Count</t>
  </si>
  <si>
    <t>Total Students (FTEs)</t>
  </si>
  <si>
    <t>Pre-K</t>
  </si>
  <si>
    <t>Kinder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</si>
  <si>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</si>
  <si>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</si>
  <si>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</si>
  <si>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</si>
  <si>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</si>
  <si>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</si>
  <si>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</si>
  <si>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</si>
  <si>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</si>
  <si>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</si>
  <si>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</si>
  <si>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</si>
  <si>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 xml:space="preserve">Specials </t>
  </si>
  <si>
    <t>SF Per Student</t>
  </si>
  <si>
    <t>Bell Times and Associated Student Counts</t>
  </si>
  <si>
    <t>Phase 1</t>
  </si>
  <si>
    <t>Grades: K-8</t>
  </si>
  <si>
    <t>Bell Time #1 (Assumes 30-45 minutes separation)</t>
  </si>
  <si>
    <t>Grades</t>
  </si>
  <si>
    <t>Bell Time #2 (Assumes 30-45 minutes separation)</t>
  </si>
  <si>
    <t>N/A</t>
  </si>
  <si>
    <t>Short Form Budget (Bond Issue)</t>
  </si>
  <si>
    <t>Year 1</t>
  </si>
  <si>
    <t>Year 2</t>
  </si>
  <si>
    <t>Year 3</t>
  </si>
  <si>
    <t>Year 4</t>
  </si>
  <si>
    <t>2026-2028</t>
  </si>
  <si>
    <t>2026-2029</t>
  </si>
  <si>
    <t># of Students</t>
  </si>
  <si>
    <t xml:space="preserve">Estimated State PPR </t>
  </si>
  <si>
    <t xml:space="preserve">Total Revenues @ 100% </t>
  </si>
  <si>
    <t>Estimated Debt Service Payments</t>
  </si>
  <si>
    <t>Total Lease Payment</t>
  </si>
  <si>
    <t>Total Lease and Debt Service as % of Total Annual Revenues</t>
  </si>
  <si>
    <t>Total Cost per Seat</t>
  </si>
  <si>
    <t>Bond Issue Size</t>
  </si>
  <si>
    <t>Total Project Cost</t>
  </si>
  <si>
    <t>Capitalized Interest</t>
  </si>
  <si>
    <t>Bond Issue Costs of Issuance</t>
  </si>
  <si>
    <t>Debt Service Reserve</t>
  </si>
  <si>
    <t>Total Bond Issue Size</t>
  </si>
  <si>
    <t>Estimated Bond Payments</t>
  </si>
  <si>
    <t>Total Bond Isuse Size</t>
  </si>
  <si>
    <t>Estimated Rate</t>
  </si>
  <si>
    <t>Estimated Term</t>
  </si>
  <si>
    <t>Estimated Annual Bond Payment</t>
  </si>
  <si>
    <t>Building SF</t>
  </si>
  <si>
    <t>Site Acreage</t>
  </si>
  <si>
    <t>Hard Costs:</t>
  </si>
  <si>
    <t>Notes:</t>
  </si>
  <si>
    <t>Building</t>
  </si>
  <si>
    <t>New HVAC</t>
  </si>
  <si>
    <t>Roof Replacement with Single Ply</t>
  </si>
  <si>
    <t>Site Work</t>
  </si>
  <si>
    <t>Exterior Paint</t>
  </si>
  <si>
    <t>Off-sites</t>
  </si>
  <si>
    <t>TBD - Budget Allowance</t>
  </si>
  <si>
    <t>Prevailing Wage Premium</t>
  </si>
  <si>
    <t>Hard Cost Subtotal</t>
  </si>
  <si>
    <t>Soft Costs:</t>
  </si>
  <si>
    <t>Architecture/Engineering</t>
  </si>
  <si>
    <t>Development Fee</t>
  </si>
  <si>
    <t>Environmental Phase 1</t>
  </si>
  <si>
    <t>Included in A&amp;E</t>
  </si>
  <si>
    <t>Geotech - Soils Report</t>
  </si>
  <si>
    <t>Traffic Study</t>
  </si>
  <si>
    <t>Insurance - Builders Risk</t>
  </si>
  <si>
    <t xml:space="preserve"> </t>
  </si>
  <si>
    <t>Legal Fees - Land Acquisition</t>
  </si>
  <si>
    <t>Land Use/Planning Consultant</t>
  </si>
  <si>
    <t>Permit Fees</t>
  </si>
  <si>
    <t xml:space="preserve">   Plan Check Fees (County or City)</t>
  </si>
  <si>
    <t>Water Connection Fee</t>
  </si>
  <si>
    <t>Needs to be updated.  Ask Civil</t>
  </si>
  <si>
    <t xml:space="preserve">   Sewer Connection Fees </t>
  </si>
  <si>
    <t xml:space="preserve">   Traffic Participation Fees</t>
  </si>
  <si>
    <t xml:space="preserve">Needs to be udpated.  Ask Civil </t>
  </si>
  <si>
    <t>Survey - ALTA</t>
  </si>
  <si>
    <t xml:space="preserve">Taxes - Real Property Transfer </t>
  </si>
  <si>
    <t>Title Policy</t>
  </si>
  <si>
    <t xml:space="preserve">Carried Interest </t>
  </si>
  <si>
    <t>Assumes Bond Issue</t>
  </si>
  <si>
    <t>Construction Loan Origination &amp; Points</t>
  </si>
  <si>
    <t>Testing:  Concrete and Steel</t>
  </si>
  <si>
    <t>Total Soft Costs</t>
  </si>
  <si>
    <t>Total Hard and Soft Costs</t>
  </si>
  <si>
    <t>(Does not include cost of land)</t>
  </si>
  <si>
    <t>Total Contingency</t>
  </si>
  <si>
    <t>Building and Land Purchase Price</t>
  </si>
  <si>
    <t xml:space="preserve">TOTAL PROJECT COST </t>
  </si>
  <si>
    <t>Capitalzied Interest</t>
  </si>
  <si>
    <t>Cost of Issuance</t>
  </si>
  <si>
    <t>Total Cost of Issuance</t>
  </si>
  <si>
    <t>Debt Service Payment</t>
  </si>
  <si>
    <t>Statewide Base (w/ District Adj)</t>
  </si>
  <si>
    <t xml:space="preserve">Funding Based off of Prior Year Numbers </t>
  </si>
  <si>
    <t>SPED Count</t>
  </si>
  <si>
    <t>EL Count</t>
  </si>
  <si>
    <t>GATE Count</t>
  </si>
  <si>
    <t xml:space="preserve">At-Risk </t>
  </si>
  <si>
    <t>FRL %</t>
  </si>
  <si>
    <t>Teaching Staff</t>
  </si>
  <si>
    <t>Classroom Teachers</t>
  </si>
  <si>
    <t>SPED Teachers</t>
  </si>
  <si>
    <t>Art Teacher</t>
  </si>
  <si>
    <t>Music</t>
  </si>
  <si>
    <t>PE Teacher</t>
  </si>
  <si>
    <t>Technology (STEM)</t>
  </si>
  <si>
    <t>Spanish / Language</t>
  </si>
  <si>
    <t>Additional Elective Teachers</t>
  </si>
  <si>
    <t>Gate Teacher</t>
  </si>
  <si>
    <t xml:space="preserve">     Total Teaching Staff</t>
  </si>
  <si>
    <t>Admin &amp; Support Staff</t>
  </si>
  <si>
    <t>Assistant Principal</t>
  </si>
  <si>
    <t>ELL Coordinator</t>
  </si>
  <si>
    <t>Dean</t>
  </si>
  <si>
    <t>Curriculum Coach</t>
  </si>
  <si>
    <t>School Counselor</t>
  </si>
  <si>
    <t>Social Worker/ Mental Health</t>
  </si>
  <si>
    <t>Office Manager/Banker</t>
  </si>
  <si>
    <t>Registrar</t>
  </si>
  <si>
    <t>Clinic Aide/ FASA</t>
  </si>
  <si>
    <t>Receptionist</t>
  </si>
  <si>
    <t>Teacher Assistants</t>
  </si>
  <si>
    <t>Custodial / Security</t>
  </si>
  <si>
    <t>Parent Engagement Coordinator</t>
  </si>
  <si>
    <t>SPED Facilitator</t>
  </si>
  <si>
    <t>Speech Pathologist</t>
  </si>
  <si>
    <t>School Psychologist</t>
  </si>
  <si>
    <t>OT / PT</t>
  </si>
  <si>
    <t>School Nurse</t>
  </si>
  <si>
    <t>On Campus Sub</t>
  </si>
  <si>
    <t>Other: IT</t>
  </si>
  <si>
    <t xml:space="preserve">     Total Admin &amp; Support Staff</t>
  </si>
  <si>
    <t>Total # Teachers and Instruction</t>
  </si>
  <si>
    <t>Total # Admin &amp; Support</t>
  </si>
  <si>
    <t>Total Staff</t>
  </si>
  <si>
    <t>Per Pupil  (PCFP Funding)</t>
  </si>
  <si>
    <t>ELL</t>
  </si>
  <si>
    <t>GATE</t>
  </si>
  <si>
    <t>At-Risk</t>
  </si>
  <si>
    <t>Aux</t>
  </si>
  <si>
    <t>Local SPED</t>
  </si>
  <si>
    <t xml:space="preserve">State SPED </t>
  </si>
  <si>
    <t>Federal SPED</t>
  </si>
  <si>
    <t>Interest Income</t>
  </si>
  <si>
    <t>Grants</t>
  </si>
  <si>
    <t>Donations</t>
  </si>
  <si>
    <t>Student Generated (SGF)</t>
  </si>
  <si>
    <t>NSLP - Breakfast</t>
  </si>
  <si>
    <t>NSLP - Lunch</t>
  </si>
  <si>
    <t>Use of beginning Funds</t>
  </si>
  <si>
    <t>Borrowings</t>
  </si>
  <si>
    <t>Project Funds</t>
  </si>
  <si>
    <t>Asst. Principal</t>
  </si>
  <si>
    <t>Social Worker/Mental Health</t>
  </si>
  <si>
    <t>Student Support</t>
  </si>
  <si>
    <t>Office Mgr. &amp; Registrar</t>
  </si>
  <si>
    <t>Office Asst / Receptionist</t>
  </si>
  <si>
    <t>Custodial/Security</t>
  </si>
  <si>
    <t>NSLP Personnel</t>
  </si>
  <si>
    <t>SPED OT / PT</t>
  </si>
  <si>
    <t>Speech Path</t>
  </si>
  <si>
    <t>School Psych</t>
  </si>
  <si>
    <t>IT</t>
  </si>
  <si>
    <t>PERS - 36.75%</t>
  </si>
  <si>
    <t>Ins/ Taxes / Other Benefits</t>
  </si>
  <si>
    <t xml:space="preserve">Retention </t>
  </si>
  <si>
    <t>Holiday</t>
  </si>
  <si>
    <t>Stipends</t>
  </si>
  <si>
    <t>Tuition Reimbursements</t>
  </si>
  <si>
    <t>Instructional Coach</t>
  </si>
  <si>
    <t>Teachers</t>
  </si>
  <si>
    <t>Instructional Asst.</t>
  </si>
  <si>
    <t xml:space="preserve">Consumables </t>
  </si>
  <si>
    <t>Dual Enrollment - Student Fees/Textbooks</t>
  </si>
  <si>
    <t>Cash instead of Zion Lease - Curriculum/Tech/Furniture</t>
  </si>
  <si>
    <t>Classroom Supplies</t>
  </si>
  <si>
    <t>Copier Supplies</t>
  </si>
  <si>
    <t>SPED Supplies</t>
  </si>
  <si>
    <t>Office Supplies</t>
  </si>
  <si>
    <t>Nursing Supplies</t>
  </si>
  <si>
    <t>Athletics/Extra Curricular</t>
  </si>
  <si>
    <t>Custodial Supplies</t>
  </si>
  <si>
    <t>Contracted Services: Other Professional Services</t>
  </si>
  <si>
    <t>Contracted Services: SPED</t>
  </si>
  <si>
    <t xml:space="preserve">Contracted Services: </t>
  </si>
  <si>
    <t xml:space="preserve">Affiliation Fee - Inc. </t>
  </si>
  <si>
    <t>Affiliation Fee - Professional Development</t>
  </si>
  <si>
    <t xml:space="preserve">Professional Development </t>
  </si>
  <si>
    <t>Management Fee (Academica Nevada)</t>
  </si>
  <si>
    <t>Payroll Services</t>
  </si>
  <si>
    <t>Audit/Tax</t>
  </si>
  <si>
    <t>Legal Fees</t>
  </si>
  <si>
    <t xml:space="preserve">IT Services </t>
  </si>
  <si>
    <t>IT Set-up Fees</t>
  </si>
  <si>
    <t xml:space="preserve">State Administrative Fee </t>
  </si>
  <si>
    <t>Communications (phone &amp; Internet)</t>
  </si>
  <si>
    <t>Postage</t>
  </si>
  <si>
    <t>Website</t>
  </si>
  <si>
    <t>Copier / Printing</t>
  </si>
  <si>
    <t>Infinite Campus</t>
  </si>
  <si>
    <t>Insurances</t>
  </si>
  <si>
    <t xml:space="preserve">NSLP - Breakfast </t>
  </si>
  <si>
    <t xml:space="preserve">NSLP - Lunch </t>
  </si>
  <si>
    <t>Advertising/Marketing</t>
  </si>
  <si>
    <t xml:space="preserve">Travel </t>
  </si>
  <si>
    <t>Background and Fingerprinting</t>
  </si>
  <si>
    <t>Dues and Fees</t>
  </si>
  <si>
    <t>Loan Repayments</t>
  </si>
  <si>
    <t>Cap Lease - Interest</t>
  </si>
  <si>
    <t>Cap Lease - Principal</t>
  </si>
  <si>
    <t>Cap Lease - Buyout</t>
  </si>
  <si>
    <t>SGF Expenditures</t>
  </si>
  <si>
    <t>Misc. Purchases</t>
  </si>
  <si>
    <t>Contingencies/Other Purchases</t>
  </si>
  <si>
    <t>Electricity</t>
  </si>
  <si>
    <t>Natural Gas</t>
  </si>
  <si>
    <t>Water / Sewer</t>
  </si>
  <si>
    <t>Garbage/Disposal</t>
  </si>
  <si>
    <t>Fire and Security alarms</t>
  </si>
  <si>
    <t>Contracted Janitorial Services</t>
  </si>
  <si>
    <t>Facility Maintenance/ Repairs/ Capital Outlay</t>
  </si>
  <si>
    <t>Snow removal</t>
  </si>
  <si>
    <t>Lawn Care</t>
  </si>
  <si>
    <t>AC Maintenance &amp; Repair</t>
  </si>
  <si>
    <t>Scheduled Lease Payment</t>
  </si>
  <si>
    <t>Scheduled Bond Payment - Principal</t>
  </si>
  <si>
    <t>Scheduled Bond Payment - Interest</t>
  </si>
  <si>
    <t>HOA/Parking/ Other</t>
  </si>
  <si>
    <t>Pinecrest Academy - FY26</t>
  </si>
  <si>
    <t>Operating</t>
  </si>
  <si>
    <t>SPED</t>
  </si>
  <si>
    <t>NSLP</t>
  </si>
  <si>
    <t>Other</t>
  </si>
  <si>
    <t>Titles/Grants</t>
  </si>
  <si>
    <t>SGF</t>
  </si>
  <si>
    <t>Title/Grants</t>
  </si>
  <si>
    <t>Sloan</t>
  </si>
  <si>
    <t>Springs</t>
  </si>
  <si>
    <t>Virtual</t>
  </si>
  <si>
    <t>25-26 (FY26)</t>
  </si>
  <si>
    <t>Total (25-26)</t>
  </si>
  <si>
    <t>Total</t>
  </si>
  <si>
    <t>Central</t>
  </si>
  <si>
    <t>Cafeteria Personal</t>
  </si>
  <si>
    <t>Parent Engagement Corr.</t>
  </si>
  <si>
    <t xml:space="preserve">Contracted Services: Substitute Services </t>
  </si>
  <si>
    <t>System</t>
  </si>
  <si>
    <t xml:space="preserve">Admin &amp; Support </t>
  </si>
  <si>
    <t>Personnel Expenditures</t>
  </si>
  <si>
    <t>Total Wages - Support</t>
  </si>
  <si>
    <t>Total Benefits - Support</t>
  </si>
  <si>
    <t>Instruction</t>
  </si>
  <si>
    <t>Total Wages - Instruction</t>
  </si>
  <si>
    <t>Material &amp; Supplies - Support</t>
  </si>
  <si>
    <t>Purchased Services - Instruction</t>
  </si>
  <si>
    <t>Purchased Services - Support</t>
  </si>
  <si>
    <t>General Operations - Support</t>
  </si>
  <si>
    <t>Facilities - Support</t>
  </si>
  <si>
    <t>Total Expenditures Before Building Payments</t>
  </si>
  <si>
    <t>Building Payments</t>
  </si>
  <si>
    <t>Net Surplus (Loss)</t>
  </si>
  <si>
    <t>Umbrella Options</t>
  </si>
  <si>
    <t>Pinecrest Academy of Nevada</t>
  </si>
  <si>
    <t>Optional Limit</t>
  </si>
  <si>
    <t>Estimated Premium</t>
  </si>
  <si>
    <t>2024-2025</t>
  </si>
  <si>
    <t>Premium Difference</t>
  </si>
  <si>
    <t>Percentage</t>
  </si>
  <si>
    <t>Package</t>
  </si>
  <si>
    <t>Educators Legal</t>
  </si>
  <si>
    <t>Umbrella</t>
  </si>
  <si>
    <t>Workers Compensation</t>
  </si>
  <si>
    <t>Student Accident</t>
  </si>
  <si>
    <t>Cyber (Including Taxes and Fees)</t>
  </si>
  <si>
    <t>TOTAL</t>
  </si>
  <si>
    <t>Per Pupil</t>
  </si>
  <si>
    <t>At-Risk (0.35)</t>
  </si>
  <si>
    <t>ELL (0.45)</t>
  </si>
  <si>
    <t>GATE (0.12)</t>
  </si>
  <si>
    <t>FY27</t>
  </si>
  <si>
    <t>FY28</t>
  </si>
  <si>
    <t>FY29</t>
  </si>
  <si>
    <t>FY30</t>
  </si>
  <si>
    <t>Pinecrest Academy - FY27</t>
  </si>
  <si>
    <t>PERS - 37.25%</t>
  </si>
  <si>
    <t>Mgmt</t>
  </si>
  <si>
    <t>FY31</t>
  </si>
  <si>
    <t>Pinecrest Academy - FY28</t>
  </si>
  <si>
    <t>PERS - 37.75%</t>
  </si>
  <si>
    <t>FY32</t>
  </si>
  <si>
    <t>Pinecrest Academy - FY29</t>
  </si>
  <si>
    <t>PERS - 38.25%</t>
  </si>
  <si>
    <t>Pinecrest Academy - FY30</t>
  </si>
  <si>
    <t>PERS - 38.75%</t>
  </si>
  <si>
    <t xml:space="preserve">Pinecrest Academy </t>
  </si>
  <si>
    <t>PERS + 0.5% per year</t>
  </si>
  <si>
    <t>Material &amp; Supplies - Instruction</t>
  </si>
  <si>
    <t>PERS: Increased 0.50% per year</t>
  </si>
  <si>
    <t>Lease Payment (Springs Campus)</t>
  </si>
  <si>
    <t>Series 2018 (Horizon, St.Rose, Inspirada)</t>
  </si>
  <si>
    <t>Series 2020 (Cadence)</t>
  </si>
  <si>
    <t>Series 2024 (Sloan Canyon Refinance)</t>
  </si>
  <si>
    <t>Series 2025A&amp;B (Springs)</t>
  </si>
  <si>
    <t>Series 2020 (Sloan Canyon A-1)</t>
  </si>
  <si>
    <t xml:space="preserve">5. Beginning cash as of June 30, 2025. </t>
  </si>
  <si>
    <t>Refinance</t>
  </si>
  <si>
    <t xml:space="preserve">Scheduled Bond Payment </t>
  </si>
  <si>
    <t>Scheduled Bond Payment -Springs</t>
  </si>
  <si>
    <t>Scheduled Bond Payment  -</t>
  </si>
  <si>
    <t xml:space="preserve">Scheduled Bond Payment - </t>
  </si>
  <si>
    <t>Updated per traffic study</t>
  </si>
  <si>
    <t>Updated</t>
  </si>
  <si>
    <t>3rd Party Testing</t>
  </si>
  <si>
    <t>Origination Points</t>
  </si>
  <si>
    <t>Construction Carry</t>
  </si>
  <si>
    <t>One year land carry</t>
  </si>
  <si>
    <t>Rent Carry</t>
  </si>
  <si>
    <t>Total Estimated</t>
  </si>
  <si>
    <t>Term (Years)</t>
  </si>
  <si>
    <t>Debt Service</t>
  </si>
  <si>
    <t>Cap Interest</t>
  </si>
  <si>
    <t>Cost of Issuance (3.25%)</t>
  </si>
  <si>
    <t>1. Provided by Academy. FY 2026 based on budgeted enrollment, not actual enrollment.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</si>
</sst>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0\ &quot;x&quot;"/>
    <numFmt numFmtId="168" formatCode="_(* #,##0.0_);_(* \(#,##0.0\);_(* &quot;-&quot;??_);_(@_)"/>
    <numFmt numFmtId="169" formatCode="mm/dd/yy;@"/>
    <numFmt numFmtId="170" formatCode="&quot; &quot;* #,##0&quot; &quot;;&quot; &quot;* \(#,##0\);&quot; &quot;* &quot;-&quot;??&quot; &quot;"/>
    <numFmt numFmtId="171" formatCode="[$-409]mmmm\ d\,\ yyyy;@"/>
    <numFmt numFmtId="172" formatCode="&quot;$&quot;#,##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1"/>
      <name val="Aptos Narrow"/>
      <family val="2"/>
      <scheme val="minor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i/>
      <u/>
      <sz val="11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628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2">
    <xf numFmtId="0" fontId="0" fillId="0" borderId="0" xfId="0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37" fontId="3" fillId="0" borderId="3" xfId="0" applyNumberFormat="1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0" xfId="0" applyFont="1"/>
    <xf numFmtId="166" fontId="3" fillId="0" borderId="0" xfId="0" applyNumberFormat="1" applyFont="1" applyAlignment="1">
      <alignment horizontal="center"/>
    </xf>
    <xf numFmtId="166" fontId="7" fillId="0" borderId="0" xfId="0" applyNumberFormat="1" applyFont="1"/>
    <xf numFmtId="0" fontId="4" fillId="0" borderId="0" xfId="0" applyFont="1"/>
    <xf numFmtId="44" fontId="0" fillId="0" borderId="1" xfId="0" applyNumberFormat="1" applyBorder="1"/>
    <xf numFmtId="166" fontId="7" fillId="0" borderId="1" xfId="3" applyNumberFormat="1" applyFont="1" applyBorder="1" applyAlignment="1">
      <alignment horizontal="center"/>
    </xf>
    <xf numFmtId="0" fontId="0" fillId="2" borderId="0" xfId="0" applyFill="1"/>
    <xf numFmtId="42" fontId="0" fillId="0" borderId="0" xfId="0" applyNumberFormat="1"/>
    <xf numFmtId="165" fontId="0" fillId="0" borderId="0" xfId="1" applyNumberFormat="1" applyFont="1"/>
    <xf numFmtId="0" fontId="9" fillId="0" borderId="0" xfId="4" applyFont="1"/>
    <xf numFmtId="0" fontId="3" fillId="0" borderId="9" xfId="0" applyFont="1" applyBorder="1"/>
    <xf numFmtId="42" fontId="3" fillId="0" borderId="9" xfId="0" applyNumberFormat="1" applyFont="1" applyBorder="1"/>
    <xf numFmtId="0" fontId="0" fillId="0" borderId="1" xfId="0" applyBorder="1"/>
    <xf numFmtId="164" fontId="0" fillId="0" borderId="0" xfId="2" applyNumberFormat="1" applyFont="1"/>
    <xf numFmtId="164" fontId="0" fillId="0" borderId="0" xfId="0" applyNumberFormat="1"/>
    <xf numFmtId="42" fontId="3" fillId="0" borderId="0" xfId="0" applyNumberFormat="1" applyFont="1"/>
    <xf numFmtId="0" fontId="3" fillId="3" borderId="9" xfId="0" applyFont="1" applyFill="1" applyBorder="1"/>
    <xf numFmtId="42" fontId="3" fillId="3" borderId="9" xfId="0" applyNumberFormat="1" applyFont="1" applyFill="1" applyBorder="1"/>
    <xf numFmtId="165" fontId="0" fillId="0" borderId="0" xfId="1" applyNumberFormat="1" applyFont="1" applyFill="1"/>
    <xf numFmtId="42" fontId="3" fillId="0" borderId="9" xfId="0" applyNumberFormat="1" applyFont="1" applyBorder="1" applyAlignment="1">
      <alignment horizontal="right" indent="1"/>
    </xf>
    <xf numFmtId="42" fontId="3" fillId="0" borderId="1" xfId="0" applyNumberFormat="1" applyFont="1" applyBorder="1"/>
    <xf numFmtId="0" fontId="3" fillId="3" borderId="10" xfId="0" applyFont="1" applyFill="1" applyBorder="1"/>
    <xf numFmtId="167" fontId="3" fillId="3" borderId="9" xfId="0" applyNumberFormat="1" applyFont="1" applyFill="1" applyBorder="1" applyAlignment="1">
      <alignment horizontal="right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/>
    <xf numFmtId="42" fontId="0" fillId="3" borderId="3" xfId="0" applyNumberFormat="1" applyFill="1" applyBorder="1"/>
    <xf numFmtId="0" fontId="3" fillId="3" borderId="7" xfId="0" applyFont="1" applyFill="1" applyBorder="1"/>
    <xf numFmtId="167" fontId="3" fillId="3" borderId="1" xfId="0" applyNumberFormat="1" applyFont="1" applyFill="1" applyBorder="1" applyAlignment="1">
      <alignment horizontal="right"/>
    </xf>
    <xf numFmtId="41" fontId="0" fillId="0" borderId="0" xfId="0" applyNumberFormat="1"/>
    <xf numFmtId="41" fontId="3" fillId="3" borderId="9" xfId="0" applyNumberFormat="1" applyFont="1" applyFill="1" applyBorder="1"/>
    <xf numFmtId="0" fontId="5" fillId="0" borderId="1" xfId="0" applyFont="1" applyBorder="1"/>
    <xf numFmtId="0" fontId="11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164" fontId="0" fillId="2" borderId="0" xfId="0" applyNumberFormat="1" applyFill="1"/>
    <xf numFmtId="168" fontId="0" fillId="2" borderId="0" xfId="1" applyNumberFormat="1" applyFont="1" applyFill="1"/>
    <xf numFmtId="0" fontId="0" fillId="4" borderId="0" xfId="0" applyFill="1"/>
    <xf numFmtId="43" fontId="12" fillId="0" borderId="0" xfId="5" applyFont="1" applyAlignment="1"/>
    <xf numFmtId="0" fontId="8" fillId="0" borderId="0" xfId="4"/>
    <xf numFmtId="0" fontId="3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169" fontId="8" fillId="0" borderId="0" xfId="4" applyNumberFormat="1" applyAlignment="1">
      <alignment horizontal="center"/>
    </xf>
    <xf numFmtId="44" fontId="8" fillId="0" borderId="0" xfId="4" applyNumberFormat="1"/>
    <xf numFmtId="0" fontId="8" fillId="6" borderId="0" xfId="4" applyFill="1"/>
    <xf numFmtId="169" fontId="8" fillId="6" borderId="0" xfId="4" applyNumberFormat="1" applyFill="1" applyAlignment="1">
      <alignment horizontal="center"/>
    </xf>
    <xf numFmtId="44" fontId="8" fillId="6" borderId="0" xfId="4" applyNumberFormat="1" applyFill="1"/>
    <xf numFmtId="169" fontId="3" fillId="0" borderId="11" xfId="4" applyNumberFormat="1" applyFont="1" applyBorder="1" applyAlignment="1">
      <alignment horizontal="right"/>
    </xf>
    <xf numFmtId="44" fontId="3" fillId="0" borderId="11" xfId="4" applyNumberFormat="1" applyFont="1" applyBorder="1"/>
    <xf numFmtId="169" fontId="8" fillId="0" borderId="0" xfId="4" applyNumberFormat="1"/>
    <xf numFmtId="169" fontId="3" fillId="0" borderId="0" xfId="4" applyNumberFormat="1" applyFont="1" applyAlignment="1">
      <alignment horizontal="right"/>
    </xf>
    <xf numFmtId="44" fontId="13" fillId="0" borderId="0" xfId="4" applyNumberFormat="1" applyFont="1"/>
    <xf numFmtId="9" fontId="0" fillId="0" borderId="0" xfId="3" applyFont="1"/>
    <xf numFmtId="44" fontId="0" fillId="0" borderId="0" xfId="2" applyFont="1"/>
    <xf numFmtId="44" fontId="3" fillId="0" borderId="0" xfId="6" applyFont="1"/>
    <xf numFmtId="44" fontId="3" fillId="0" borderId="0" xfId="2" applyFont="1"/>
    <xf numFmtId="0" fontId="14" fillId="0" borderId="0" xfId="4" applyFont="1"/>
    <xf numFmtId="44" fontId="14" fillId="0" borderId="0" xfId="4" applyNumberFormat="1" applyFont="1"/>
    <xf numFmtId="165" fontId="1" fillId="0" borderId="0" xfId="1" applyNumberFormat="1"/>
    <xf numFmtId="166" fontId="1" fillId="0" borderId="0" xfId="3" applyNumberFormat="1"/>
    <xf numFmtId="166" fontId="8" fillId="0" borderId="0" xfId="4" applyNumberFormat="1"/>
    <xf numFmtId="44" fontId="3" fillId="0" borderId="0" xfId="4" applyNumberFormat="1" applyFont="1"/>
    <xf numFmtId="43" fontId="0" fillId="0" borderId="0" xfId="1" applyFont="1"/>
    <xf numFmtId="4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5" borderId="12" xfId="0" applyFont="1" applyFill="1" applyBorder="1"/>
    <xf numFmtId="0" fontId="15" fillId="5" borderId="12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7" fillId="0" borderId="13" xfId="2" applyNumberFormat="1" applyFont="1" applyFill="1" applyBorder="1" applyAlignment="1">
      <alignment horizontal="left"/>
    </xf>
    <xf numFmtId="165" fontId="9" fillId="5" borderId="14" xfId="0" applyNumberFormat="1" applyFont="1" applyFill="1" applyBorder="1"/>
    <xf numFmtId="0" fontId="17" fillId="0" borderId="15" xfId="0" applyFont="1" applyBorder="1" applyAlignment="1">
      <alignment horizontal="left"/>
    </xf>
    <xf numFmtId="0" fontId="0" fillId="5" borderId="14" xfId="0" applyFill="1" applyBorder="1"/>
    <xf numFmtId="0" fontId="17" fillId="0" borderId="15" xfId="2" applyNumberFormat="1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5" borderId="16" xfId="0" applyFill="1" applyBorder="1"/>
    <xf numFmtId="0" fontId="0" fillId="5" borderId="8" xfId="0" applyFill="1" applyBorder="1"/>
    <xf numFmtId="165" fontId="9" fillId="5" borderId="12" xfId="1" applyNumberFormat="1" applyFont="1" applyFill="1" applyBorder="1"/>
    <xf numFmtId="165" fontId="9" fillId="5" borderId="17" xfId="1" applyNumberFormat="1" applyFont="1" applyFill="1" applyBorder="1"/>
    <xf numFmtId="1" fontId="0" fillId="0" borderId="0" xfId="0" applyNumberFormat="1"/>
    <xf numFmtId="49" fontId="18" fillId="0" borderId="18" xfId="0" applyNumberFormat="1" applyFont="1" applyBorder="1"/>
    <xf numFmtId="0" fontId="19" fillId="0" borderId="19" xfId="0" applyFont="1" applyBorder="1"/>
    <xf numFmtId="0" fontId="19" fillId="0" borderId="0" xfId="0" applyFont="1"/>
    <xf numFmtId="0" fontId="19" fillId="0" borderId="20" xfId="0" applyFont="1" applyBorder="1"/>
    <xf numFmtId="0" fontId="21" fillId="0" borderId="20" xfId="0" applyFont="1" applyBorder="1"/>
    <xf numFmtId="49" fontId="22" fillId="5" borderId="24" xfId="0" applyNumberFormat="1" applyFont="1" applyFill="1" applyBorder="1" applyAlignment="1">
      <alignment horizontal="center"/>
    </xf>
    <xf numFmtId="49" fontId="22" fillId="5" borderId="25" xfId="0" applyNumberFormat="1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49" fontId="21" fillId="0" borderId="20" xfId="0" applyNumberFormat="1" applyFont="1" applyBorder="1" applyAlignment="1">
      <alignment wrapText="1"/>
    </xf>
    <xf numFmtId="170" fontId="21" fillId="5" borderId="5" xfId="0" applyNumberFormat="1" applyFont="1" applyFill="1" applyBorder="1" applyAlignment="1">
      <alignment horizontal="center" vertical="center"/>
    </xf>
    <xf numFmtId="170" fontId="21" fillId="5" borderId="0" xfId="0" applyNumberFormat="1" applyFont="1" applyFill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0" fillId="5" borderId="27" xfId="0" applyFont="1" applyFill="1" applyBorder="1"/>
    <xf numFmtId="0" fontId="22" fillId="5" borderId="5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49" fontId="21" fillId="5" borderId="7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5" fillId="0" borderId="0" xfId="0" applyFont="1"/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44" fontId="0" fillId="5" borderId="0" xfId="0" applyNumberFormat="1" applyFill="1"/>
    <xf numFmtId="165" fontId="0" fillId="5" borderId="0" xfId="1" applyNumberFormat="1" applyFont="1" applyFill="1"/>
    <xf numFmtId="0" fontId="26" fillId="0" borderId="0" xfId="0" applyFont="1"/>
    <xf numFmtId="165" fontId="0" fillId="5" borderId="0" xfId="0" applyNumberFormat="1" applyFill="1"/>
    <xf numFmtId="0" fontId="26" fillId="0" borderId="3" xfId="0" applyFont="1" applyBorder="1" applyAlignment="1">
      <alignment horizontal="center"/>
    </xf>
    <xf numFmtId="165" fontId="0" fillId="5" borderId="3" xfId="1" applyNumberFormat="1" applyFont="1" applyFill="1" applyBorder="1"/>
    <xf numFmtId="0" fontId="0" fillId="5" borderId="0" xfId="0" applyFill="1"/>
    <xf numFmtId="0" fontId="27" fillId="0" borderId="0" xfId="0" applyFont="1"/>
    <xf numFmtId="166" fontId="2" fillId="5" borderId="0" xfId="0" applyNumberFormat="1" applyFont="1" applyFill="1"/>
    <xf numFmtId="44" fontId="0" fillId="5" borderId="0" xfId="2" applyFont="1" applyFill="1"/>
    <xf numFmtId="0" fontId="28" fillId="0" borderId="0" xfId="0" applyFont="1" applyAlignment="1">
      <alignment horizontal="center"/>
    </xf>
    <xf numFmtId="0" fontId="29" fillId="0" borderId="0" xfId="0" applyFont="1"/>
    <xf numFmtId="164" fontId="29" fillId="0" borderId="0" xfId="0" applyNumberFormat="1" applyFont="1"/>
    <xf numFmtId="164" fontId="29" fillId="0" borderId="0" xfId="2" applyNumberFormat="1" applyFont="1"/>
    <xf numFmtId="0" fontId="29" fillId="0" borderId="1" xfId="0" applyFont="1" applyBorder="1"/>
    <xf numFmtId="164" fontId="29" fillId="0" borderId="1" xfId="2" applyNumberFormat="1" applyFont="1" applyBorder="1" applyAlignment="1"/>
    <xf numFmtId="0" fontId="30" fillId="0" borderId="0" xfId="0" applyFont="1"/>
    <xf numFmtId="164" fontId="30" fillId="0" borderId="0" xfId="2" applyNumberFormat="1" applyFont="1" applyAlignment="1"/>
    <xf numFmtId="10" fontId="29" fillId="0" borderId="0" xfId="3" applyNumberFormat="1" applyFont="1"/>
    <xf numFmtId="8" fontId="30" fillId="0" borderId="0" xfId="0" applyNumberFormat="1" applyFont="1"/>
    <xf numFmtId="165" fontId="29" fillId="0" borderId="0" xfId="1" applyNumberFormat="1" applyFont="1"/>
    <xf numFmtId="43" fontId="29" fillId="0" borderId="0" xfId="1" applyFont="1"/>
    <xf numFmtId="9" fontId="30" fillId="0" borderId="1" xfId="0" applyNumberFormat="1" applyFont="1" applyBorder="1"/>
    <xf numFmtId="0" fontId="29" fillId="0" borderId="2" xfId="0" applyFont="1" applyBorder="1"/>
    <xf numFmtId="0" fontId="29" fillId="0" borderId="3" xfId="0" applyFont="1" applyBorder="1"/>
    <xf numFmtId="44" fontId="29" fillId="0" borderId="3" xfId="2" applyFont="1" applyBorder="1"/>
    <xf numFmtId="164" fontId="29" fillId="0" borderId="3" xfId="2" applyNumberFormat="1" applyFont="1" applyBorder="1"/>
    <xf numFmtId="164" fontId="29" fillId="0" borderId="29" xfId="2" applyNumberFormat="1" applyFont="1" applyBorder="1" applyAlignment="1">
      <alignment wrapText="1"/>
    </xf>
    <xf numFmtId="0" fontId="29" fillId="0" borderId="5" xfId="0" applyFont="1" applyBorder="1"/>
    <xf numFmtId="44" fontId="29" fillId="0" borderId="0" xfId="2" applyFont="1" applyBorder="1"/>
    <xf numFmtId="164" fontId="29" fillId="0" borderId="0" xfId="2" applyNumberFormat="1" applyFont="1" applyBorder="1"/>
    <xf numFmtId="164" fontId="29" fillId="0" borderId="14" xfId="2" applyNumberFormat="1" applyFont="1" applyBorder="1" applyAlignment="1">
      <alignment wrapText="1"/>
    </xf>
    <xf numFmtId="9" fontId="29" fillId="0" borderId="0" xfId="3" applyFont="1" applyBorder="1"/>
    <xf numFmtId="164" fontId="29" fillId="0" borderId="6" xfId="2" applyNumberFormat="1" applyFont="1" applyBorder="1" applyAlignment="1">
      <alignment wrapText="1"/>
    </xf>
    <xf numFmtId="0" fontId="29" fillId="0" borderId="10" xfId="0" applyFont="1" applyBorder="1"/>
    <xf numFmtId="0" fontId="29" fillId="0" borderId="9" xfId="0" applyFont="1" applyBorder="1"/>
    <xf numFmtId="44" fontId="29" fillId="0" borderId="9" xfId="2" applyFont="1" applyBorder="1"/>
    <xf numFmtId="164" fontId="29" fillId="0" borderId="17" xfId="2" applyNumberFormat="1" applyFont="1" applyBorder="1"/>
    <xf numFmtId="164" fontId="29" fillId="0" borderId="17" xfId="2" applyNumberFormat="1" applyFont="1" applyBorder="1" applyAlignment="1">
      <alignment wrapText="1"/>
    </xf>
    <xf numFmtId="9" fontId="30" fillId="0" borderId="7" xfId="0" applyNumberFormat="1" applyFont="1" applyBorder="1"/>
    <xf numFmtId="164" fontId="29" fillId="0" borderId="1" xfId="0" applyNumberFormat="1" applyFont="1" applyBorder="1"/>
    <xf numFmtId="0" fontId="29" fillId="0" borderId="16" xfId="0" applyFont="1" applyBorder="1" applyAlignment="1">
      <alignment wrapText="1"/>
    </xf>
    <xf numFmtId="44" fontId="29" fillId="0" borderId="0" xfId="2" applyFont="1" applyFill="1" applyBorder="1"/>
    <xf numFmtId="164" fontId="29" fillId="0" borderId="14" xfId="0" applyNumberFormat="1" applyFont="1" applyBorder="1" applyAlignment="1">
      <alignment wrapText="1"/>
    </xf>
    <xf numFmtId="0" fontId="29" fillId="0" borderId="5" xfId="0" applyFont="1" applyBorder="1" applyAlignment="1">
      <alignment wrapText="1"/>
    </xf>
    <xf numFmtId="166" fontId="29" fillId="0" borderId="0" xfId="0" applyNumberFormat="1" applyFont="1"/>
    <xf numFmtId="0" fontId="29" fillId="0" borderId="14" xfId="0" applyFont="1" applyBorder="1" applyAlignment="1">
      <alignment wrapText="1"/>
    </xf>
    <xf numFmtId="9" fontId="29" fillId="0" borderId="0" xfId="0" applyNumberFormat="1" applyFont="1"/>
    <xf numFmtId="44" fontId="29" fillId="0" borderId="0" xfId="0" applyNumberFormat="1" applyFont="1"/>
    <xf numFmtId="0" fontId="29" fillId="0" borderId="7" xfId="0" applyFont="1" applyBorder="1"/>
    <xf numFmtId="44" fontId="29" fillId="0" borderId="1" xfId="2" applyFont="1" applyBorder="1"/>
    <xf numFmtId="164" fontId="29" fillId="0" borderId="16" xfId="0" applyNumberFormat="1" applyFont="1" applyBorder="1" applyAlignment="1">
      <alignment wrapText="1"/>
    </xf>
    <xf numFmtId="2" fontId="29" fillId="0" borderId="9" xfId="0" applyNumberFormat="1" applyFont="1" applyBorder="1"/>
    <xf numFmtId="164" fontId="29" fillId="0" borderId="17" xfId="0" applyNumberFormat="1" applyFont="1" applyBorder="1"/>
    <xf numFmtId="164" fontId="29" fillId="0" borderId="6" xfId="0" applyNumberFormat="1" applyFont="1" applyBorder="1"/>
    <xf numFmtId="164" fontId="29" fillId="0" borderId="6" xfId="2" applyNumberFormat="1" applyFont="1" applyBorder="1"/>
    <xf numFmtId="0" fontId="29" fillId="0" borderId="6" xfId="2" applyNumberFormat="1" applyFont="1" applyBorder="1"/>
    <xf numFmtId="171" fontId="29" fillId="0" borderId="5" xfId="0" applyNumberFormat="1" applyFont="1" applyBorder="1"/>
    <xf numFmtId="44" fontId="29" fillId="0" borderId="0" xfId="2" applyFont="1"/>
    <xf numFmtId="164" fontId="29" fillId="0" borderId="8" xfId="0" applyNumberFormat="1" applyFont="1" applyBorder="1"/>
    <xf numFmtId="44" fontId="29" fillId="0" borderId="1" xfId="2" applyFont="1" applyFill="1" applyBorder="1"/>
    <xf numFmtId="0" fontId="26" fillId="0" borderId="0" xfId="0" applyFont="1" applyAlignment="1">
      <alignment horizontal="center"/>
    </xf>
    <xf numFmtId="164" fontId="26" fillId="0" borderId="0" xfId="2" applyNumberFormat="1" applyFont="1"/>
    <xf numFmtId="164" fontId="26" fillId="0" borderId="0" xfId="0" applyNumberFormat="1" applyFont="1"/>
    <xf numFmtId="164" fontId="1" fillId="0" borderId="0" xfId="2" applyNumberFormat="1" applyFont="1" applyBorder="1" applyAlignment="1"/>
    <xf numFmtId="164" fontId="3" fillId="0" borderId="0" xfId="2" applyNumberFormat="1" applyFont="1" applyAlignment="1"/>
    <xf numFmtId="44" fontId="1" fillId="0" borderId="0" xfId="2" applyFont="1"/>
    <xf numFmtId="0" fontId="12" fillId="0" borderId="0" xfId="0" applyFont="1" applyAlignment="1">
      <alignment horizontal="center"/>
    </xf>
    <xf numFmtId="0" fontId="31" fillId="0" borderId="29" xfId="2" applyNumberFormat="1" applyFont="1" applyFill="1" applyBorder="1" applyAlignment="1">
      <alignment horizontal="right"/>
    </xf>
    <xf numFmtId="0" fontId="31" fillId="0" borderId="14" xfId="2" applyNumberFormat="1" applyFont="1" applyFill="1" applyBorder="1" applyAlignment="1">
      <alignment horizontal="right"/>
    </xf>
    <xf numFmtId="0" fontId="31" fillId="0" borderId="29" xfId="0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31" fillId="0" borderId="16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32" fillId="7" borderId="12" xfId="0" applyFont="1" applyFill="1" applyBorder="1" applyAlignment="1">
      <alignment horizontal="left"/>
    </xf>
    <xf numFmtId="0" fontId="32" fillId="7" borderId="12" xfId="0" applyFont="1" applyFill="1" applyBorder="1"/>
    <xf numFmtId="0" fontId="31" fillId="0" borderId="14" xfId="0" applyFont="1" applyBorder="1" applyProtection="1">
      <protection locked="0"/>
    </xf>
    <xf numFmtId="0" fontId="31" fillId="0" borderId="14" xfId="0" applyFont="1" applyBorder="1" applyAlignment="1" applyProtection="1">
      <alignment horizontal="left"/>
      <protection locked="0"/>
    </xf>
    <xf numFmtId="0" fontId="31" fillId="0" borderId="14" xfId="0" applyFont="1" applyBorder="1"/>
    <xf numFmtId="0" fontId="32" fillId="0" borderId="14" xfId="0" applyFont="1" applyBorder="1"/>
    <xf numFmtId="0" fontId="31" fillId="0" borderId="14" xfId="0" applyFont="1" applyBorder="1" applyAlignment="1">
      <alignment horizontal="left"/>
    </xf>
    <xf numFmtId="0" fontId="32" fillId="8" borderId="14" xfId="0" applyFont="1" applyFill="1" applyBorder="1"/>
    <xf numFmtId="0" fontId="32" fillId="8" borderId="30" xfId="0" applyFont="1" applyFill="1" applyBorder="1"/>
    <xf numFmtId="0" fontId="32" fillId="8" borderId="29" xfId="0" applyFont="1" applyFill="1" applyBorder="1"/>
    <xf numFmtId="0" fontId="32" fillId="8" borderId="31" xfId="0" applyFont="1" applyFill="1" applyBorder="1"/>
    <xf numFmtId="0" fontId="12" fillId="9" borderId="32" xfId="0" applyFont="1" applyFill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12" fillId="9" borderId="12" xfId="0" applyFont="1" applyFill="1" applyBorder="1" applyAlignment="1">
      <alignment horizontal="right"/>
    </xf>
    <xf numFmtId="0" fontId="26" fillId="9" borderId="12" xfId="0" applyFont="1" applyFill="1" applyBorder="1" applyAlignment="1">
      <alignment horizontal="left"/>
    </xf>
    <xf numFmtId="0" fontId="12" fillId="10" borderId="36" xfId="0" applyFont="1" applyFill="1" applyBorder="1" applyAlignment="1">
      <alignment horizontal="left"/>
    </xf>
    <xf numFmtId="0" fontId="26" fillId="10" borderId="12" xfId="0" applyFont="1" applyFill="1" applyBorder="1" applyAlignment="1">
      <alignment horizontal="left"/>
    </xf>
    <xf numFmtId="0" fontId="12" fillId="11" borderId="12" xfId="0" applyFont="1" applyFill="1" applyBorder="1" applyAlignment="1">
      <alignment horizontal="left"/>
    </xf>
    <xf numFmtId="0" fontId="12" fillId="10" borderId="9" xfId="0" applyFont="1" applyFill="1" applyBorder="1" applyAlignment="1">
      <alignment horizontal="left"/>
    </xf>
    <xf numFmtId="0" fontId="31" fillId="0" borderId="33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31" fillId="0" borderId="34" xfId="0" applyFont="1" applyBorder="1"/>
    <xf numFmtId="0" fontId="31" fillId="0" borderId="35" xfId="0" applyFont="1" applyBorder="1"/>
    <xf numFmtId="0" fontId="32" fillId="11" borderId="12" xfId="0" applyFont="1" applyFill="1" applyBorder="1"/>
    <xf numFmtId="0" fontId="31" fillId="0" borderId="33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40" xfId="0" applyFont="1" applyBorder="1"/>
    <xf numFmtId="0" fontId="12" fillId="5" borderId="4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4" fontId="31" fillId="0" borderId="12" xfId="2" applyNumberFormat="1" applyFont="1" applyBorder="1"/>
    <xf numFmtId="165" fontId="32" fillId="0" borderId="12" xfId="1" applyNumberFormat="1" applyFont="1" applyBorder="1"/>
    <xf numFmtId="0" fontId="33" fillId="0" borderId="0" xfId="0" applyFont="1" applyAlignment="1">
      <alignment horizontal="left"/>
    </xf>
    <xf numFmtId="165" fontId="9" fillId="0" borderId="12" xfId="1" applyNumberFormat="1" applyFont="1" applyBorder="1"/>
    <xf numFmtId="10" fontId="26" fillId="0" borderId="0" xfId="3" applyNumberFormat="1" applyFont="1" applyBorder="1" applyAlignment="1">
      <alignment horizontal="right"/>
    </xf>
    <xf numFmtId="165" fontId="26" fillId="0" borderId="0" xfId="0" applyNumberFormat="1" applyFont="1"/>
    <xf numFmtId="43" fontId="33" fillId="0" borderId="0" xfId="0" applyNumberFormat="1" applyFont="1" applyAlignment="1">
      <alignment horizontal="left"/>
    </xf>
    <xf numFmtId="165" fontId="31" fillId="0" borderId="12" xfId="1" applyNumberFormat="1" applyFont="1" applyBorder="1"/>
    <xf numFmtId="165" fontId="32" fillId="7" borderId="12" xfId="1" applyNumberFormat="1" applyFont="1" applyFill="1" applyBorder="1" applyAlignment="1">
      <alignment horizontal="center"/>
    </xf>
    <xf numFmtId="165" fontId="31" fillId="0" borderId="12" xfId="1" applyNumberFormat="1" applyFont="1" applyFill="1" applyBorder="1"/>
    <xf numFmtId="9" fontId="31" fillId="0" borderId="12" xfId="3" applyFont="1" applyFill="1" applyBorder="1"/>
    <xf numFmtId="10" fontId="31" fillId="0" borderId="12" xfId="3" applyNumberFormat="1" applyFont="1" applyFill="1" applyBorder="1"/>
    <xf numFmtId="43" fontId="31" fillId="0" borderId="12" xfId="1" applyFont="1" applyBorder="1"/>
    <xf numFmtId="43" fontId="31" fillId="0" borderId="12" xfId="1" applyFont="1" applyFill="1" applyBorder="1"/>
    <xf numFmtId="43" fontId="32" fillId="7" borderId="12" xfId="1" applyFont="1" applyFill="1" applyBorder="1"/>
    <xf numFmtId="165" fontId="31" fillId="0" borderId="29" xfId="1" applyNumberFormat="1" applyFont="1" applyBorder="1"/>
    <xf numFmtId="43" fontId="32" fillId="0" borderId="30" xfId="1" applyFont="1" applyBorder="1"/>
    <xf numFmtId="43" fontId="32" fillId="0" borderId="12" xfId="1" applyFont="1" applyBorder="1"/>
    <xf numFmtId="43" fontId="32" fillId="0" borderId="31" xfId="1" applyFont="1" applyBorder="1"/>
    <xf numFmtId="0" fontId="12" fillId="9" borderId="32" xfId="0" applyFont="1" applyFill="1" applyBorder="1" applyAlignment="1">
      <alignment horizontal="center"/>
    </xf>
    <xf numFmtId="165" fontId="12" fillId="9" borderId="32" xfId="0" applyNumberFormat="1" applyFont="1" applyFill="1" applyBorder="1" applyAlignment="1">
      <alignment horizontal="center"/>
    </xf>
    <xf numFmtId="165" fontId="26" fillId="0" borderId="33" xfId="1" applyNumberFormat="1" applyFont="1" applyFill="1" applyBorder="1"/>
    <xf numFmtId="165" fontId="26" fillId="0" borderId="34" xfId="1" applyNumberFormat="1" applyFont="1" applyFill="1" applyBorder="1"/>
    <xf numFmtId="165" fontId="26" fillId="12" borderId="34" xfId="1" applyNumberFormat="1" applyFont="1" applyFill="1" applyBorder="1"/>
    <xf numFmtId="165" fontId="26" fillId="0" borderId="34" xfId="1" applyNumberFormat="1" applyFont="1" applyBorder="1"/>
    <xf numFmtId="165" fontId="26" fillId="0" borderId="35" xfId="1" applyNumberFormat="1" applyFont="1" applyBorder="1"/>
    <xf numFmtId="165" fontId="12" fillId="9" borderId="12" xfId="1" applyNumberFormat="1" applyFont="1" applyFill="1" applyBorder="1"/>
    <xf numFmtId="0" fontId="12" fillId="9" borderId="12" xfId="0" applyFont="1" applyFill="1" applyBorder="1" applyAlignment="1">
      <alignment horizontal="center"/>
    </xf>
    <xf numFmtId="165" fontId="12" fillId="9" borderId="12" xfId="0" applyNumberFormat="1" applyFont="1" applyFill="1" applyBorder="1" applyAlignment="1">
      <alignment horizontal="center"/>
    </xf>
    <xf numFmtId="0" fontId="26" fillId="0" borderId="33" xfId="0" applyFont="1" applyBorder="1"/>
    <xf numFmtId="0" fontId="26" fillId="0" borderId="34" xfId="0" applyFont="1" applyBorder="1"/>
    <xf numFmtId="0" fontId="26" fillId="0" borderId="35" xfId="0" applyFont="1" applyBorder="1"/>
    <xf numFmtId="43" fontId="26" fillId="9" borderId="12" xfId="1" applyFont="1" applyFill="1" applyBorder="1"/>
    <xf numFmtId="0" fontId="12" fillId="10" borderId="36" xfId="0" applyFont="1" applyFill="1" applyBorder="1" applyAlignment="1">
      <alignment horizontal="center"/>
    </xf>
    <xf numFmtId="165" fontId="12" fillId="10" borderId="36" xfId="0" applyNumberFormat="1" applyFont="1" applyFill="1" applyBorder="1" applyAlignment="1">
      <alignment horizontal="center"/>
    </xf>
    <xf numFmtId="0" fontId="12" fillId="10" borderId="42" xfId="0" applyFont="1" applyFill="1" applyBorder="1" applyAlignment="1">
      <alignment horizontal="center"/>
    </xf>
    <xf numFmtId="0" fontId="26" fillId="10" borderId="12" xfId="0" applyFont="1" applyFill="1" applyBorder="1"/>
    <xf numFmtId="165" fontId="26" fillId="0" borderId="33" xfId="1" applyNumberFormat="1" applyFont="1" applyBorder="1"/>
    <xf numFmtId="165" fontId="12" fillId="11" borderId="12" xfId="1" applyNumberFormat="1" applyFont="1" applyFill="1" applyBorder="1"/>
    <xf numFmtId="165" fontId="26" fillId="0" borderId="0" xfId="1" applyNumberFormat="1" applyFont="1"/>
    <xf numFmtId="165" fontId="12" fillId="10" borderId="9" xfId="1" applyNumberFormat="1" applyFont="1" applyFill="1" applyBorder="1" applyAlignment="1">
      <alignment horizontal="center"/>
    </xf>
    <xf numFmtId="165" fontId="12" fillId="10" borderId="17" xfId="1" applyNumberFormat="1" applyFont="1" applyFill="1" applyBorder="1" applyAlignment="1">
      <alignment horizontal="center"/>
    </xf>
    <xf numFmtId="165" fontId="26" fillId="0" borderId="43" xfId="1" applyNumberFormat="1" applyFont="1" applyFill="1" applyBorder="1"/>
    <xf numFmtId="165" fontId="26" fillId="0" borderId="0" xfId="1" applyNumberFormat="1" applyFont="1" applyFill="1"/>
    <xf numFmtId="165" fontId="12" fillId="10" borderId="44" xfId="1" applyNumberFormat="1" applyFont="1" applyFill="1" applyBorder="1"/>
    <xf numFmtId="165" fontId="26" fillId="10" borderId="37" xfId="1" applyNumberFormat="1" applyFont="1" applyFill="1" applyBorder="1"/>
    <xf numFmtId="165" fontId="26" fillId="0" borderId="38" xfId="1" applyNumberFormat="1" applyFont="1" applyBorder="1"/>
    <xf numFmtId="165" fontId="26" fillId="0" borderId="39" xfId="1" applyNumberFormat="1" applyFont="1" applyBorder="1"/>
    <xf numFmtId="165" fontId="26" fillId="0" borderId="40" xfId="1" applyNumberFormat="1" applyFont="1" applyBorder="1"/>
    <xf numFmtId="165" fontId="12" fillId="5" borderId="41" xfId="1" applyNumberFormat="1" applyFont="1" applyFill="1" applyBorder="1"/>
    <xf numFmtId="10" fontId="26" fillId="0" borderId="0" xfId="3" applyNumberFormat="1" applyFont="1"/>
    <xf numFmtId="165" fontId="12" fillId="0" borderId="0" xfId="1" applyNumberFormat="1" applyFont="1" applyAlignment="1">
      <alignment horizontal="center"/>
    </xf>
    <xf numFmtId="165" fontId="26" fillId="9" borderId="12" xfId="1" applyNumberFormat="1" applyFont="1" applyFill="1" applyBorder="1"/>
    <xf numFmtId="0" fontId="34" fillId="0" borderId="0" xfId="0" applyFont="1" applyAlignment="1">
      <alignment horizontal="left"/>
    </xf>
    <xf numFmtId="43" fontId="26" fillId="0" borderId="0" xfId="1" applyFont="1"/>
    <xf numFmtId="165" fontId="12" fillId="10" borderId="42" xfId="0" applyNumberFormat="1" applyFont="1" applyFill="1" applyBorder="1" applyAlignment="1">
      <alignment horizontal="center"/>
    </xf>
    <xf numFmtId="43" fontId="26" fillId="0" borderId="0" xfId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2" applyNumberFormat="1" applyFont="1" applyFill="1" applyBorder="1" applyAlignment="1">
      <alignment horizontal="right"/>
    </xf>
    <xf numFmtId="165" fontId="26" fillId="10" borderId="34" xfId="1" applyNumberFormat="1" applyFont="1" applyFill="1" applyBorder="1"/>
    <xf numFmtId="165" fontId="26" fillId="6" borderId="34" xfId="1" applyNumberFormat="1" applyFont="1" applyFill="1" applyBorder="1"/>
    <xf numFmtId="10" fontId="0" fillId="0" borderId="0" xfId="3" applyNumberFormat="1" applyFont="1"/>
    <xf numFmtId="165" fontId="26" fillId="0" borderId="35" xfId="1" applyNumberFormat="1" applyFont="1" applyFill="1" applyBorder="1"/>
    <xf numFmtId="10" fontId="26" fillId="0" borderId="0" xfId="3" applyNumberFormat="1" applyFont="1" applyFill="1" applyAlignment="1">
      <alignment horizontal="right"/>
    </xf>
    <xf numFmtId="0" fontId="12" fillId="10" borderId="37" xfId="0" applyFont="1" applyFill="1" applyBorder="1" applyAlignment="1">
      <alignment horizontal="left"/>
    </xf>
    <xf numFmtId="10" fontId="26" fillId="0" borderId="43" xfId="3" applyNumberFormat="1" applyFont="1" applyFill="1" applyBorder="1"/>
    <xf numFmtId="165" fontId="0" fillId="0" borderId="0" xfId="0" applyNumberFormat="1"/>
    <xf numFmtId="0" fontId="35" fillId="0" borderId="0" xfId="0" applyFont="1"/>
    <xf numFmtId="0" fontId="36" fillId="14" borderId="12" xfId="0" applyFont="1" applyFill="1" applyBorder="1"/>
    <xf numFmtId="0" fontId="36" fillId="15" borderId="29" xfId="0" applyFont="1" applyFill="1" applyBorder="1" applyAlignment="1">
      <alignment horizontal="center"/>
    </xf>
    <xf numFmtId="0" fontId="36" fillId="15" borderId="12" xfId="0" applyFont="1" applyFill="1" applyBorder="1"/>
    <xf numFmtId="6" fontId="35" fillId="0" borderId="12" xfId="0" applyNumberFormat="1" applyFont="1" applyBorder="1"/>
    <xf numFmtId="172" fontId="35" fillId="0" borderId="12" xfId="0" applyNumberFormat="1" applyFont="1" applyBorder="1"/>
    <xf numFmtId="44" fontId="35" fillId="0" borderId="12" xfId="2" applyFont="1" applyBorder="1"/>
    <xf numFmtId="44" fontId="35" fillId="0" borderId="12" xfId="0" applyNumberFormat="1" applyFont="1" applyBorder="1"/>
    <xf numFmtId="9" fontId="35" fillId="0" borderId="12" xfId="3" applyFont="1" applyBorder="1"/>
    <xf numFmtId="44" fontId="35" fillId="12" borderId="12" xfId="2" applyFont="1" applyFill="1" applyBorder="1"/>
    <xf numFmtId="0" fontId="37" fillId="16" borderId="12" xfId="0" applyFont="1" applyFill="1" applyBorder="1"/>
    <xf numFmtId="44" fontId="35" fillId="9" borderId="12" xfId="0" applyNumberFormat="1" applyFont="1" applyFill="1" applyBorder="1"/>
    <xf numFmtId="9" fontId="35" fillId="9" borderId="12" xfId="3" applyFont="1" applyFill="1" applyBorder="1"/>
    <xf numFmtId="172" fontId="35" fillId="12" borderId="12" xfId="0" applyNumberFormat="1" applyFont="1" applyFill="1" applyBorder="1"/>
    <xf numFmtId="0" fontId="0" fillId="0" borderId="12" xfId="0" applyBorder="1"/>
    <xf numFmtId="165" fontId="0" fillId="0" borderId="12" xfId="1" applyNumberFormat="1" applyFont="1" applyBorder="1"/>
    <xf numFmtId="43" fontId="0" fillId="0" borderId="12" xfId="0" applyNumberFormat="1" applyBorder="1"/>
    <xf numFmtId="0" fontId="0" fillId="17" borderId="12" xfId="0" applyFill="1" applyBorder="1"/>
    <xf numFmtId="0" fontId="3" fillId="0" borderId="12" xfId="0" applyFont="1" applyBorder="1" applyAlignment="1">
      <alignment horizontal="right"/>
    </xf>
    <xf numFmtId="10" fontId="0" fillId="0" borderId="12" xfId="3" applyNumberFormat="1" applyFont="1" applyBorder="1"/>
    <xf numFmtId="43" fontId="31" fillId="4" borderId="12" xfId="1" applyFont="1" applyFill="1" applyBorder="1"/>
    <xf numFmtId="43" fontId="31" fillId="18" borderId="12" xfId="1" applyFont="1" applyFill="1" applyBorder="1"/>
    <xf numFmtId="0" fontId="0" fillId="6" borderId="0" xfId="0" applyFill="1"/>
    <xf numFmtId="165" fontId="0" fillId="6" borderId="0" xfId="1" applyNumberFormat="1" applyFont="1" applyFill="1"/>
    <xf numFmtId="10" fontId="0" fillId="6" borderId="0" xfId="3" applyNumberFormat="1" applyFont="1" applyFill="1"/>
    <xf numFmtId="43" fontId="0" fillId="6" borderId="0" xfId="1" applyFont="1" applyFill="1"/>
    <xf numFmtId="43" fontId="31" fillId="9" borderId="12" xfId="1" applyFont="1" applyFill="1" applyBorder="1"/>
    <xf numFmtId="10" fontId="0" fillId="5" borderId="0" xfId="3" applyNumberFormat="1" applyFont="1" applyFill="1"/>
    <xf numFmtId="43" fontId="0" fillId="5" borderId="0" xfId="1" applyFont="1" applyFill="1"/>
    <xf numFmtId="44" fontId="0" fillId="6" borderId="0" xfId="0" applyNumberFormat="1" applyFill="1"/>
    <xf numFmtId="165" fontId="0" fillId="0" borderId="12" xfId="0" applyNumberFormat="1" applyBorder="1"/>
    <xf numFmtId="37" fontId="3" fillId="0" borderId="4" xfId="0" applyNumberFormat="1" applyFont="1" applyBorder="1"/>
    <xf numFmtId="164" fontId="3" fillId="0" borderId="0" xfId="2" applyNumberFormat="1" applyFont="1" applyFill="1" applyBorder="1"/>
    <xf numFmtId="164" fontId="3" fillId="0" borderId="6" xfId="2" applyNumberFormat="1" applyFont="1" applyFill="1" applyBorder="1"/>
    <xf numFmtId="165" fontId="3" fillId="0" borderId="1" xfId="1" applyNumberFormat="1" applyFont="1" applyFill="1" applyBorder="1"/>
    <xf numFmtId="165" fontId="3" fillId="0" borderId="8" xfId="1" applyNumberFormat="1" applyFont="1" applyFill="1" applyBorder="1"/>
    <xf numFmtId="0" fontId="39" fillId="0" borderId="0" xfId="0" applyFont="1" applyAlignment="1">
      <alignment horizontal="left"/>
    </xf>
    <xf numFmtId="43" fontId="39" fillId="0" borderId="0" xfId="0" applyNumberFormat="1" applyFont="1" applyAlignment="1">
      <alignment horizontal="left"/>
    </xf>
    <xf numFmtId="164" fontId="0" fillId="0" borderId="5" xfId="2" applyNumberFormat="1" applyFont="1" applyBorder="1"/>
    <xf numFmtId="166" fontId="0" fillId="0" borderId="0" xfId="3" applyNumberFormat="1" applyFont="1"/>
    <xf numFmtId="44" fontId="4" fillId="0" borderId="0" xfId="0" applyNumberFormat="1" applyFont="1"/>
    <xf numFmtId="44" fontId="4" fillId="0" borderId="0" xfId="2" applyFont="1" applyFill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 applyFill="1"/>
    <xf numFmtId="164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165" fontId="3" fillId="0" borderId="0" xfId="1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0" fontId="40" fillId="0" borderId="0" xfId="0" applyFont="1" applyAlignment="1">
      <alignment horizontal="right"/>
    </xf>
    <xf numFmtId="9" fontId="4" fillId="0" borderId="0" xfId="3" applyFont="1" applyFill="1" applyBorder="1"/>
    <xf numFmtId="10" fontId="40" fillId="0" borderId="0" xfId="3" applyNumberFormat="1" applyFont="1" applyFill="1" applyBorder="1" applyAlignment="1">
      <alignment horizontal="right" indent="1"/>
    </xf>
    <xf numFmtId="0" fontId="31" fillId="0" borderId="34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38" fillId="0" borderId="0" xfId="0" applyFont="1" applyAlignment="1">
      <alignment horizontal="center"/>
    </xf>
    <xf numFmtId="0" fontId="36" fillId="10" borderId="10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7" fillId="13" borderId="12" xfId="0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43" fontId="12" fillId="5" borderId="0" xfId="5" applyFont="1" applyFill="1" applyAlignment="1">
      <alignment horizontal="center"/>
    </xf>
    <xf numFmtId="49" fontId="20" fillId="5" borderId="21" xfId="0" applyNumberFormat="1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</cellXfs>
  <cellStyles count="7">
    <cellStyle name="Comma" xfId="1" builtinId="3"/>
    <cellStyle name="Comma 2" xfId="5" xr:uid="{EA028432-F242-4C78-99BC-6CFD5D7F8DEE}"/>
    <cellStyle name="Currency" xfId="2" builtinId="4"/>
    <cellStyle name="Currency 2" xfId="6" xr:uid="{8CE2B976-930A-4A0C-946D-A76371758545}"/>
    <cellStyle name="Normal" xfId="0" builtinId="0"/>
    <cellStyle name="Normal 2" xfId="4" xr:uid="{CBB40EBF-8470-4679-8033-EDCB0A388406}"/>
    <cellStyle name="Percent" xfId="3" builtinId="5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0</xdr:rowOff>
    </xdr:from>
    <xdr:to>
      <xdr:col>25</xdr:col>
      <xdr:colOff>296668</xdr:colOff>
      <xdr:row>63</xdr:row>
      <xdr:rowOff>169862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30F1A-3278-429E-A044-51AF9D25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0"/>
          <a:ext cx="9983593" cy="11571287"/>
        </a:xfrm>
        <a:prstGeom prst="rect">
          <a:avLst/>
        </a:prstGeom>
      </xdr:spPr>
    </xdr:pic>
    <xdr:clientData/>
  </xdr:twoCellAnchor>
  <xdr:twoCellAnchor editAs="oneCell">
    <xdr:from>
      <xdr:col>39</xdr:col>
      <xdr:colOff>425450</xdr:colOff>
      <xdr:row>0</xdr:row>
      <xdr:rowOff>0</xdr:rowOff>
    </xdr:from>
    <xdr:to>
      <xdr:col>53</xdr:col>
      <xdr:colOff>483799</xdr:colOff>
      <xdr:row>49</xdr:row>
      <xdr:rowOff>102852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C89697-4913-EA72-CB8C-D16F8A7D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42850" y="0"/>
          <a:ext cx="8592749" cy="8976977"/>
        </a:xfrm>
        <a:prstGeom prst="rect">
          <a:avLst/>
        </a:prstGeom>
      </xdr:spPr>
    </xdr:pic>
    <xdr:clientData/>
  </xdr:twoCellAnchor>
  <xdr:twoCellAnchor editAs="oneCell">
    <xdr:from>
      <xdr:col>25</xdr:col>
      <xdr:colOff>428624</xdr:colOff>
      <xdr:row>0</xdr:row>
      <xdr:rowOff>66675</xdr:rowOff>
    </xdr:from>
    <xdr:to>
      <xdr:col>38</xdr:col>
      <xdr:colOff>479424</xdr:colOff>
      <xdr:row>46</xdr:row>
      <xdr:rowOff>68682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CCAF8A-0FBE-9007-D0D6-A0BB2562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11624" y="66675"/>
          <a:ext cx="7975600" cy="8326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160344</xdr:colOff>
      <xdr:row>38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B1646-36DF-4E1C-96B9-9FE3D398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84150"/>
          <a:ext cx="7478718" cy="6832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evor.Goodsell\AppData\Local\Microsoft\Windows\INetCache\Content.Outlook\OBY8DAVH\Pinecrest%20BGC%20Project%20Budget%20(Prevailing%20Wage).xlsx" TargetMode="External"/><Relationship Id="rId1" Type="http://schemas.openxmlformats.org/officeDocument/2006/relationships/externalLinkPath" Target="file:///C:\Users\Trevor.Goodsell\AppData\Local\Microsoft\Windows\INetCache\Content.Outlook\OBY8DAVH\Pinecrest%20BGC%20Project%20Budget%20(Prevailing%20Wag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Budget (Bond Issue)"/>
      <sheetName val="Project Budget (Lease-Purchase)"/>
      <sheetName val="Lease Schedules"/>
      <sheetName val="Bank Loan"/>
      <sheetName val="Enrollment Projections"/>
      <sheetName val="Short Form School Budget"/>
      <sheetName val="Bond Issue Payments"/>
      <sheetName val="Purchase Price"/>
    </sheetNames>
    <sheetDataSet>
      <sheetData sheetId="0">
        <row r="2">
          <cell r="E2">
            <v>49000</v>
          </cell>
        </row>
        <row r="43">
          <cell r="E43">
            <v>23291006.419999998</v>
          </cell>
        </row>
      </sheetData>
      <sheetData sheetId="1"/>
      <sheetData sheetId="2"/>
      <sheetData sheetId="3"/>
      <sheetData sheetId="4">
        <row r="20">
          <cell r="C20">
            <v>681</v>
          </cell>
          <cell r="D20">
            <v>799</v>
          </cell>
          <cell r="E20">
            <v>892</v>
          </cell>
          <cell r="F20">
            <v>895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6ED3-F109-4F9C-A029-E6063467B674}">
  <sheetPr>
    <pageSetUpPr fitToPage="1"/>
  </sheetPr>
  <dimension ref="C1:N56"/>
  <sheetViews>
    <sheetView topLeftCell="C12" zoomScaleNormal="100" workbookViewId="0">
      <selection activeCell="J26" sqref="J26"/>
    </sheetView>
  </sheetViews>
  <sheetFormatPr defaultRowHeight="15" x14ac:dyDescent="0.25"/>
  <cols>
    <col min="3" max="3" width="50.5703125" customWidth="1"/>
    <col min="4" max="8" width="15.7109375" customWidth="1"/>
    <col min="9" max="9" width="1.85546875" customWidth="1"/>
    <col min="10" max="13" width="11.140625" style="12" bestFit="1" customWidth="1"/>
    <col min="14" max="14" width="8.7109375" style="12"/>
  </cols>
  <sheetData>
    <row r="1" spans="3:14" x14ac:dyDescent="0.25">
      <c r="C1" s="1" t="s">
        <v>44</v>
      </c>
    </row>
    <row r="2" spans="3:14" x14ac:dyDescent="0.25">
      <c r="C2" s="1" t="s">
        <v>0</v>
      </c>
    </row>
    <row r="3" spans="3:14" x14ac:dyDescent="0.25">
      <c r="D3" s="2" t="s">
        <v>1</v>
      </c>
      <c r="E3" s="2" t="s">
        <v>2</v>
      </c>
      <c r="F3" s="2" t="s">
        <v>2</v>
      </c>
      <c r="G3" s="2" t="s">
        <v>2</v>
      </c>
      <c r="H3" s="2" t="s">
        <v>2</v>
      </c>
    </row>
    <row r="4" spans="3:14" x14ac:dyDescent="0.25"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3:14" ht="16.5" x14ac:dyDescent="0.25">
      <c r="C5" s="5" t="s">
        <v>9</v>
      </c>
      <c r="D5" s="6">
        <f>Compare!AX17</f>
        <v>8536</v>
      </c>
      <c r="E5" s="6">
        <f>Compare!AY17</f>
        <v>9037</v>
      </c>
      <c r="F5" s="6">
        <f>Compare!AZ17</f>
        <v>9205</v>
      </c>
      <c r="G5" s="6">
        <f>Compare!BA17</f>
        <v>9273</v>
      </c>
      <c r="H5" s="318">
        <f>Compare!BB17</f>
        <v>9279</v>
      </c>
    </row>
    <row r="6" spans="3:14" x14ac:dyDescent="0.25">
      <c r="C6" s="7" t="s">
        <v>10</v>
      </c>
      <c r="D6" s="319">
        <f>+D10/D5</f>
        <v>10352.582474226803</v>
      </c>
      <c r="E6" s="319">
        <f t="shared" ref="E6:H6" si="0">+E10/E5</f>
        <v>10440.949430120616</v>
      </c>
      <c r="F6" s="319">
        <f t="shared" si="0"/>
        <v>10655.91711026616</v>
      </c>
      <c r="G6" s="319">
        <f t="shared" si="0"/>
        <v>10819.026636471477</v>
      </c>
      <c r="H6" s="320">
        <f t="shared" si="0"/>
        <v>10996.462118762798</v>
      </c>
    </row>
    <row r="7" spans="3:14" x14ac:dyDescent="0.25">
      <c r="C7" s="8" t="s">
        <v>11</v>
      </c>
      <c r="D7" s="321">
        <f>+D11/D5</f>
        <v>370.41069587628868</v>
      </c>
      <c r="E7" s="321">
        <f t="shared" ref="E7:H7" si="1">+E11/E5</f>
        <v>398.98105566006416</v>
      </c>
      <c r="F7" s="321">
        <f t="shared" si="1"/>
        <v>400.27776208582293</v>
      </c>
      <c r="G7" s="321">
        <f t="shared" si="1"/>
        <v>399.78451418095545</v>
      </c>
      <c r="H7" s="322">
        <f t="shared" si="1"/>
        <v>401.5931458131264</v>
      </c>
    </row>
    <row r="8" spans="3:14" x14ac:dyDescent="0.25">
      <c r="C8" s="9"/>
      <c r="D8" s="10"/>
      <c r="E8" s="11"/>
      <c r="F8" s="11"/>
      <c r="G8" s="11"/>
      <c r="H8" s="11"/>
    </row>
    <row r="9" spans="3:14" x14ac:dyDescent="0.25">
      <c r="C9" s="3" t="s">
        <v>12</v>
      </c>
      <c r="D9" s="13"/>
      <c r="E9" s="14"/>
      <c r="F9" s="14"/>
      <c r="G9" s="14"/>
      <c r="H9" s="14"/>
    </row>
    <row r="10" spans="3:14" x14ac:dyDescent="0.25">
      <c r="C10" t="s">
        <v>13</v>
      </c>
      <c r="D10" s="16">
        <f>Compare!AX68+Compare!AX69+Compare!AX70+Compare!AX71+Compare!AX72+Compare!AX73+Compare!AX74</f>
        <v>88369644</v>
      </c>
      <c r="E10" s="16">
        <f>Compare!AY68+Compare!AY69+Compare!AY70+Compare!AY71+Compare!AY72+Compare!AY73+Compare!AY74</f>
        <v>94354860</v>
      </c>
      <c r="F10" s="16">
        <f>Compare!AZ68+Compare!AZ69+Compare!AZ70+Compare!AZ71+Compare!AZ72+Compare!AZ73+Compare!AZ74</f>
        <v>98087717</v>
      </c>
      <c r="G10" s="16">
        <f>Compare!BA68+Compare!BA69+Compare!BA70+Compare!BA71+Compare!BA72+Compare!BA73+Compare!BA74</f>
        <v>100324834</v>
      </c>
      <c r="H10" s="16">
        <f>Compare!BB68+Compare!BB69+Compare!BB70+Compare!BB71+Compare!BB72+Compare!BB73+Compare!BB74</f>
        <v>102036172</v>
      </c>
      <c r="J10" s="336">
        <f>E10-D10</f>
        <v>5985216</v>
      </c>
      <c r="K10" s="336">
        <f>F10-E10</f>
        <v>3732857</v>
      </c>
      <c r="L10" s="336">
        <f>G10-F10</f>
        <v>2237117</v>
      </c>
      <c r="M10" s="336">
        <f>H10-G10</f>
        <v>1711338</v>
      </c>
    </row>
    <row r="11" spans="3:14" x14ac:dyDescent="0.25">
      <c r="C11" t="s">
        <v>14</v>
      </c>
      <c r="D11" s="17">
        <f>Compare!AX75+Compare!AX77+Compare!AX80+Compare!AX81</f>
        <v>3161825.7</v>
      </c>
      <c r="E11" s="17">
        <f>Compare!AY75+Compare!AY77+Compare!AY80+Compare!AY81</f>
        <v>3605591.8</v>
      </c>
      <c r="F11" s="17">
        <f>Compare!AZ75+Compare!AZ77+Compare!AZ80+Compare!AZ81</f>
        <v>3684556.7999999998</v>
      </c>
      <c r="G11" s="17">
        <f>Compare!BA75+Compare!BA77+Compare!BA80+Compare!BA81</f>
        <v>3707201.8</v>
      </c>
      <c r="H11" s="17">
        <f>Compare!BB75+Compare!BB77+Compare!BB80+Compare!BB81</f>
        <v>3726382.8</v>
      </c>
      <c r="J11" s="336">
        <f t="shared" ref="J11:M12" si="2">E11-D11</f>
        <v>443766.09999999963</v>
      </c>
      <c r="K11" s="336">
        <f t="shared" si="2"/>
        <v>78965</v>
      </c>
      <c r="L11" s="336">
        <f t="shared" si="2"/>
        <v>22645</v>
      </c>
      <c r="M11" s="336">
        <f t="shared" si="2"/>
        <v>19181</v>
      </c>
    </row>
    <row r="12" spans="3:14" x14ac:dyDescent="0.25">
      <c r="C12" s="18" t="s">
        <v>15</v>
      </c>
      <c r="D12" s="17">
        <f>Compare!AX79+Compare!AX78+Compare!AX76</f>
        <v>8136741</v>
      </c>
      <c r="E12" s="17">
        <f>Compare!AY79+Compare!AY78+Compare!AY76</f>
        <v>7580600</v>
      </c>
      <c r="F12" s="17">
        <f>Compare!AZ79+Compare!AZ78+Compare!AZ76</f>
        <v>7580600</v>
      </c>
      <c r="G12" s="17">
        <f>Compare!BA79+Compare!BA78+Compare!BA76</f>
        <v>7580600</v>
      </c>
      <c r="H12" s="17">
        <f>Compare!BB79+Compare!BB78+Compare!BB76</f>
        <v>7580600</v>
      </c>
      <c r="J12" s="336">
        <f t="shared" si="2"/>
        <v>-556141</v>
      </c>
      <c r="K12" s="336">
        <f t="shared" si="2"/>
        <v>0</v>
      </c>
      <c r="L12" s="336">
        <f t="shared" si="2"/>
        <v>0</v>
      </c>
      <c r="M12" s="336">
        <f t="shared" si="2"/>
        <v>0</v>
      </c>
    </row>
    <row r="13" spans="3:14" x14ac:dyDescent="0.25">
      <c r="C13" s="19" t="s">
        <v>16</v>
      </c>
      <c r="D13" s="20">
        <f t="shared" ref="D13:H13" si="3">SUM(D10:D12)</f>
        <v>99668210.700000003</v>
      </c>
      <c r="E13" s="20">
        <f t="shared" si="3"/>
        <v>105541051.8</v>
      </c>
      <c r="F13" s="20">
        <f t="shared" si="3"/>
        <v>109352873.8</v>
      </c>
      <c r="G13" s="20">
        <f t="shared" si="3"/>
        <v>111612635.8</v>
      </c>
      <c r="H13" s="20">
        <f t="shared" si="3"/>
        <v>113343154.8</v>
      </c>
    </row>
    <row r="14" spans="3:14" x14ac:dyDescent="0.25">
      <c r="F14" s="16"/>
      <c r="G14" s="16"/>
      <c r="H14" s="16"/>
      <c r="J14" s="337" t="s">
        <v>1</v>
      </c>
      <c r="K14" s="337" t="s">
        <v>2</v>
      </c>
      <c r="L14" s="337" t="s">
        <v>2</v>
      </c>
      <c r="M14" s="337" t="s">
        <v>2</v>
      </c>
      <c r="N14" s="337" t="s">
        <v>2</v>
      </c>
    </row>
    <row r="15" spans="3:14" x14ac:dyDescent="0.25">
      <c r="C15" s="3" t="s">
        <v>17</v>
      </c>
      <c r="D15" s="21"/>
      <c r="E15" s="21"/>
      <c r="F15" s="21"/>
      <c r="G15" s="21"/>
      <c r="H15" s="21"/>
      <c r="J15" s="337" t="s">
        <v>4</v>
      </c>
      <c r="K15" s="337" t="s">
        <v>5</v>
      </c>
      <c r="L15" s="337" t="s">
        <v>6</v>
      </c>
      <c r="M15" s="337" t="s">
        <v>7</v>
      </c>
      <c r="N15" s="337" t="s">
        <v>8</v>
      </c>
    </row>
    <row r="16" spans="3:14" x14ac:dyDescent="0.25">
      <c r="C16" t="s">
        <v>18</v>
      </c>
      <c r="D16" s="22">
        <f>Compare!AX109+Compare!AX125</f>
        <v>38731015.051250003</v>
      </c>
      <c r="E16" s="22">
        <f>Compare!AY109+Compare!AY125</f>
        <v>40272814.790399998</v>
      </c>
      <c r="F16" s="22">
        <f>Compare!AZ109+Compare!AZ125</f>
        <v>41267633.394807994</v>
      </c>
      <c r="G16" s="22">
        <f>Compare!BA109+Compare!BA125</f>
        <v>41844296.671222165</v>
      </c>
      <c r="H16" s="22">
        <f>Compare!BB109+Compare!BB125</f>
        <v>42055234.776805788</v>
      </c>
      <c r="I16" s="23"/>
      <c r="J16" s="338">
        <f>D16/D13</f>
        <v>0.38859948201367683</v>
      </c>
      <c r="K16" s="338">
        <f t="shared" ref="K16:N16" si="4">E16/E13</f>
        <v>0.38158436081077601</v>
      </c>
      <c r="L16" s="338">
        <f t="shared" si="4"/>
        <v>0.37738041956066082</v>
      </c>
      <c r="M16" s="338">
        <f t="shared" si="4"/>
        <v>0.37490644649055199</v>
      </c>
      <c r="N16" s="338">
        <f t="shared" si="4"/>
        <v>0.3710434463467554</v>
      </c>
    </row>
    <row r="17" spans="3:14" x14ac:dyDescent="0.25">
      <c r="C17" t="s">
        <v>19</v>
      </c>
      <c r="D17" s="17">
        <f>Compare!AX132+Compare!AX116</f>
        <v>21578339.484340623</v>
      </c>
      <c r="E17" s="17">
        <f>Compare!AY132+Compare!AY116</f>
        <v>22986699.49893</v>
      </c>
      <c r="F17" s="17">
        <f>Compare!AZ132+Compare!AZ116</f>
        <v>24140023.572463222</v>
      </c>
      <c r="G17" s="17">
        <f>Compare!BA132+Compare!BA116</f>
        <v>25149451.37272682</v>
      </c>
      <c r="H17" s="17">
        <f>Compare!BB132+Compare!BB116</f>
        <v>25941388.199739061</v>
      </c>
      <c r="I17" s="23"/>
      <c r="J17" s="338">
        <f>D17/D13</f>
        <v>0.21650172439927851</v>
      </c>
      <c r="K17" s="338">
        <f t="shared" ref="K17:N17" si="5">E17/E13</f>
        <v>0.21779865850199912</v>
      </c>
      <c r="L17" s="338">
        <f t="shared" si="5"/>
        <v>0.22075344463844554</v>
      </c>
      <c r="M17" s="338">
        <f t="shared" si="5"/>
        <v>0.2253279943840088</v>
      </c>
      <c r="N17" s="338">
        <f t="shared" si="5"/>
        <v>0.22887476747505409</v>
      </c>
    </row>
    <row r="18" spans="3:14" x14ac:dyDescent="0.25">
      <c r="C18" t="s">
        <v>20</v>
      </c>
      <c r="D18" s="17">
        <f>Compare!AX141+Compare!AX149</f>
        <v>6321125</v>
      </c>
      <c r="E18" s="17">
        <f>Compare!AY141+Compare!AY149</f>
        <v>5359669.75</v>
      </c>
      <c r="F18" s="17">
        <f>Compare!AZ141+Compare!AZ149</f>
        <v>5617436.5</v>
      </c>
      <c r="G18" s="17">
        <f>Compare!BA141+Compare!BA149</f>
        <v>5714701.25</v>
      </c>
      <c r="H18" s="17">
        <f>Compare!BB141+Compare!BB149</f>
        <v>5824562</v>
      </c>
      <c r="I18" s="23"/>
      <c r="J18" s="338">
        <f>D18/D13</f>
        <v>6.3421676335963351E-2</v>
      </c>
      <c r="K18" s="338">
        <f t="shared" ref="K18:N18" si="6">E18/E13</f>
        <v>5.0782796443573058E-2</v>
      </c>
      <c r="L18" s="338">
        <f t="shared" si="6"/>
        <v>5.1369811371157585E-2</v>
      </c>
      <c r="M18" s="338">
        <f t="shared" si="6"/>
        <v>5.1201203242258707E-2</v>
      </c>
      <c r="N18" s="338">
        <f t="shared" si="6"/>
        <v>5.1388740769371985E-2</v>
      </c>
    </row>
    <row r="19" spans="3:14" x14ac:dyDescent="0.25">
      <c r="C19" t="s">
        <v>21</v>
      </c>
      <c r="D19" s="17">
        <f>Compare!AX159+Compare!AX171</f>
        <v>9989871.9839999992</v>
      </c>
      <c r="E19" s="17">
        <f>Compare!AY159+Compare!AY171</f>
        <v>10834901.590200001</v>
      </c>
      <c r="F19" s="17">
        <f>Compare!AZ159+Compare!AZ171</f>
        <v>11255366.952456001</v>
      </c>
      <c r="G19" s="17">
        <f>Compare!BA159+Compare!BA171</f>
        <v>11572839.01527968</v>
      </c>
      <c r="H19" s="17">
        <f>Compare!BB159+Compare!BB171</f>
        <v>11795791.81771807</v>
      </c>
      <c r="I19" s="23"/>
      <c r="J19" s="338">
        <f>D19/D13</f>
        <v>0.10023127649064938</v>
      </c>
      <c r="K19" s="338">
        <f t="shared" ref="K19:N19" si="7">E19/E13</f>
        <v>0.10266054208680912</v>
      </c>
      <c r="L19" s="338">
        <f t="shared" si="7"/>
        <v>0.10292703393457595</v>
      </c>
      <c r="M19" s="338">
        <f t="shared" si="7"/>
        <v>0.10368753441158031</v>
      </c>
      <c r="N19" s="338">
        <f t="shared" si="7"/>
        <v>0.10407149720274127</v>
      </c>
    </row>
    <row r="20" spans="3:14" x14ac:dyDescent="0.25">
      <c r="C20" t="s">
        <v>22</v>
      </c>
      <c r="D20" s="17">
        <f>Compare!AX194-Compare!AX193</f>
        <v>9310998.5999999996</v>
      </c>
      <c r="E20" s="17">
        <f>Compare!AY194-Compare!AY193</f>
        <v>10086665.3155</v>
      </c>
      <c r="F20" s="17">
        <f>Compare!AZ194-Compare!AZ193</f>
        <v>10391785.855799999</v>
      </c>
      <c r="G20" s="17">
        <f>Compare!BA194-Compare!BA193</f>
        <v>10598421.824402399</v>
      </c>
      <c r="H20" s="17">
        <f>Compare!BB194-Compare!BB193</f>
        <v>10795940.765944727</v>
      </c>
      <c r="I20" s="23"/>
      <c r="J20" s="338">
        <f>D20/D13</f>
        <v>9.3419943376188239E-2</v>
      </c>
      <c r="K20" s="338">
        <f t="shared" ref="K20:N20" si="8">E20/E13</f>
        <v>9.5571013775892666E-2</v>
      </c>
      <c r="L20" s="338">
        <f t="shared" si="8"/>
        <v>9.5029837759965652E-2</v>
      </c>
      <c r="M20" s="338">
        <f t="shared" si="8"/>
        <v>9.4957186060849214E-2</v>
      </c>
      <c r="N20" s="338">
        <f t="shared" si="8"/>
        <v>9.5250046506952596E-2</v>
      </c>
    </row>
    <row r="21" spans="3:14" x14ac:dyDescent="0.25">
      <c r="C21" t="s">
        <v>23</v>
      </c>
      <c r="D21" s="17">
        <f>Compare!AX207-'FY26'!AK203-'FY26'!AC137-'FY26'!U137</f>
        <v>2944837</v>
      </c>
      <c r="E21" s="17">
        <f>Compare!AY207</f>
        <v>4000782.8539999998</v>
      </c>
      <c r="F21" s="17">
        <f>Compare!AZ207</f>
        <v>4120860.2032199996</v>
      </c>
      <c r="G21" s="17">
        <f>Compare!BA207</f>
        <v>4240945.3784165997</v>
      </c>
      <c r="H21" s="17">
        <f>Compare!BB207</f>
        <v>4357293.9075487619</v>
      </c>
      <c r="I21" s="23"/>
      <c r="J21" s="338">
        <f>D21/D13</f>
        <v>2.9546401799706433E-2</v>
      </c>
      <c r="K21" s="338">
        <f t="shared" ref="K21:N21" si="9">E21/E13</f>
        <v>3.7907361976849276E-2</v>
      </c>
      <c r="L21" s="338">
        <f t="shared" si="9"/>
        <v>3.7684059504067641E-2</v>
      </c>
      <c r="M21" s="338">
        <f t="shared" si="9"/>
        <v>3.7997000501054382E-2</v>
      </c>
      <c r="N21" s="338">
        <f t="shared" si="9"/>
        <v>3.8443379445696903E-2</v>
      </c>
    </row>
    <row r="22" spans="3:14" ht="16.5" x14ac:dyDescent="0.25">
      <c r="C22" s="19" t="s">
        <v>24</v>
      </c>
      <c r="D22" s="20">
        <f t="shared" ref="D22:H22" si="10">SUM(D16:D21)</f>
        <v>88876187.119590625</v>
      </c>
      <c r="E22" s="20">
        <f t="shared" si="10"/>
        <v>93541533.799030021</v>
      </c>
      <c r="F22" s="20">
        <f t="shared" si="10"/>
        <v>96793106.478747204</v>
      </c>
      <c r="G22" s="20">
        <f t="shared" si="10"/>
        <v>99120655.512047648</v>
      </c>
      <c r="H22" s="20">
        <f t="shared" si="10"/>
        <v>100770211.46775642</v>
      </c>
      <c r="I22" s="23"/>
      <c r="J22" s="338">
        <f>SUM(J16:J21)</f>
        <v>0.89172050441546269</v>
      </c>
      <c r="K22" s="338">
        <f t="shared" ref="K22:N22" si="11">SUM(K16:K21)</f>
        <v>0.88630473359589934</v>
      </c>
      <c r="L22" s="338">
        <f t="shared" si="11"/>
        <v>0.88514460676887308</v>
      </c>
      <c r="M22" s="338">
        <f t="shared" si="11"/>
        <v>0.88807736509030344</v>
      </c>
      <c r="N22" s="338">
        <f t="shared" si="11"/>
        <v>0.88907187774657215</v>
      </c>
    </row>
    <row r="23" spans="3:14" x14ac:dyDescent="0.25">
      <c r="C23" s="9"/>
      <c r="D23" s="24"/>
      <c r="E23" s="24"/>
      <c r="F23" s="24"/>
      <c r="G23" s="24"/>
      <c r="H23" s="24"/>
      <c r="I23" s="23"/>
      <c r="J23" s="336"/>
    </row>
    <row r="24" spans="3:14" x14ac:dyDescent="0.25">
      <c r="C24" s="25" t="s">
        <v>25</v>
      </c>
      <c r="D24" s="26">
        <f t="shared" ref="D24:H24" si="12">D13-D22</f>
        <v>10792023.580409378</v>
      </c>
      <c r="E24" s="26">
        <f t="shared" si="12"/>
        <v>11999518.000969976</v>
      </c>
      <c r="F24" s="26">
        <f t="shared" si="12"/>
        <v>12559767.321252793</v>
      </c>
      <c r="G24" s="26">
        <f t="shared" si="12"/>
        <v>12491980.287952349</v>
      </c>
      <c r="H24" s="26">
        <f t="shared" si="12"/>
        <v>12572943.332243577</v>
      </c>
      <c r="I24" s="23"/>
      <c r="J24" s="336"/>
    </row>
    <row r="25" spans="3:14" x14ac:dyDescent="0.25">
      <c r="C25" t="s">
        <v>378</v>
      </c>
      <c r="D25" s="27">
        <f>'FY26'!AP212</f>
        <v>277500</v>
      </c>
      <c r="E25" s="17"/>
      <c r="F25" s="17"/>
      <c r="G25" s="17"/>
      <c r="H25" s="17"/>
      <c r="I25" s="23"/>
      <c r="J25" s="336"/>
    </row>
    <row r="26" spans="3:14" x14ac:dyDescent="0.25">
      <c r="C26" t="s">
        <v>379</v>
      </c>
      <c r="D26" s="17">
        <f>Compare!B213+Compare!N213+Compare!N214+Compare!T213+Compare!T214</f>
        <v>3057381</v>
      </c>
      <c r="E26" s="17">
        <f>Compare!C213+Compare!O213+Compare!O214+Compare!U213+Compare!U214</f>
        <v>3055487</v>
      </c>
      <c r="F26" s="17">
        <f>Compare!D213+Compare!P213+Compare!P214+Compare!V213+Compare!V214</f>
        <v>3055736</v>
      </c>
      <c r="G26" s="17">
        <f>Compare!E213+Compare!Q213+Compare!Q214+Compare!W213+Compare!W214</f>
        <v>3063342</v>
      </c>
      <c r="H26" s="17">
        <f>Compare!F213+Compare!R213+Compare!R214+Compare!X213+Compare!X214</f>
        <v>3066847</v>
      </c>
      <c r="I26" s="23"/>
      <c r="J26" s="336"/>
    </row>
    <row r="27" spans="3:14" x14ac:dyDescent="0.25">
      <c r="C27" t="s">
        <v>380</v>
      </c>
      <c r="D27" s="17">
        <f>Compare!H212</f>
        <v>2493885</v>
      </c>
      <c r="E27" s="17">
        <f>Compare!I212</f>
        <v>2496200</v>
      </c>
      <c r="F27" s="17">
        <f>Compare!J212</f>
        <v>2492750</v>
      </c>
      <c r="G27" s="17">
        <f>Compare!K212</f>
        <v>2496625</v>
      </c>
      <c r="H27" s="17">
        <f>Compare!L212</f>
        <v>2495000</v>
      </c>
      <c r="I27" s="23"/>
      <c r="J27" s="336"/>
    </row>
    <row r="28" spans="3:14" x14ac:dyDescent="0.25">
      <c r="C28" t="s">
        <v>383</v>
      </c>
      <c r="D28" s="17">
        <f>'Bond Pymt'!O13</f>
        <v>1327516.68</v>
      </c>
      <c r="E28" s="17">
        <f>'Bond Pymt'!O14</f>
        <v>1330689.5900000001</v>
      </c>
      <c r="F28" s="17">
        <f>'Bond Pymt'!O15</f>
        <v>1332957.8099999998</v>
      </c>
      <c r="G28" s="17">
        <f>'Bond Pymt'!O16</f>
        <v>1237632.29</v>
      </c>
      <c r="H28" s="17">
        <f>'Bond Pymt'!O17</f>
        <v>1229133.33</v>
      </c>
      <c r="I28" s="23"/>
      <c r="J28" s="336"/>
    </row>
    <row r="29" spans="3:14" x14ac:dyDescent="0.25">
      <c r="C29" t="s">
        <v>381</v>
      </c>
      <c r="D29" s="17">
        <f>'Sloan Rent'!E8</f>
        <v>1725035</v>
      </c>
      <c r="E29" s="17">
        <f>'Sloan Rent'!E13</f>
        <v>2024900</v>
      </c>
      <c r="F29" s="17">
        <f>'Sloan Rent'!E18</f>
        <v>2232590</v>
      </c>
      <c r="G29" s="17">
        <f>'Sloan Rent'!E23</f>
        <v>2345190</v>
      </c>
      <c r="H29" s="17">
        <f>'Sloan Rent'!E29</f>
        <v>2345300</v>
      </c>
      <c r="I29" s="23"/>
      <c r="J29" s="336"/>
    </row>
    <row r="30" spans="3:14" x14ac:dyDescent="0.25">
      <c r="C30" t="s">
        <v>382</v>
      </c>
      <c r="D30" s="17"/>
      <c r="E30" s="17">
        <f>Compare!AG214</f>
        <v>1000000</v>
      </c>
      <c r="F30" s="17">
        <f>Compare!AH214</f>
        <v>1550000</v>
      </c>
      <c r="G30" s="17">
        <f>Compare!AI214</f>
        <v>1825000</v>
      </c>
      <c r="H30" s="17">
        <f>Compare!AJ214</f>
        <v>1875000</v>
      </c>
      <c r="I30" s="23"/>
      <c r="J30" s="336"/>
    </row>
    <row r="31" spans="3:14" ht="16.5" x14ac:dyDescent="0.25">
      <c r="C31" s="19" t="s">
        <v>26</v>
      </c>
      <c r="D31" s="28">
        <f>SUM(D25:D30)</f>
        <v>8881317.6799999997</v>
      </c>
      <c r="E31" s="28">
        <f>SUM(E25:E30)</f>
        <v>9907276.5899999999</v>
      </c>
      <c r="F31" s="28">
        <f>SUM(F25:F30)</f>
        <v>10664033.809999999</v>
      </c>
      <c r="G31" s="28">
        <f>SUM(G25:G30)</f>
        <v>10967789.289999999</v>
      </c>
      <c r="H31" s="28">
        <f>SUM(H25:H30)</f>
        <v>11011280.33</v>
      </c>
      <c r="J31" s="339">
        <f>D31/D13</f>
        <v>8.9108830364504565E-2</v>
      </c>
      <c r="K31" s="339">
        <f t="shared" ref="K31:N31" si="13">E31/E13</f>
        <v>9.387130809321724E-2</v>
      </c>
      <c r="L31" s="339">
        <f t="shared" si="13"/>
        <v>9.7519465556103191E-2</v>
      </c>
      <c r="M31" s="339">
        <f t="shared" si="13"/>
        <v>9.8266555676127118E-2</v>
      </c>
      <c r="N31" s="339">
        <f t="shared" si="13"/>
        <v>9.7149936839414683E-2</v>
      </c>
    </row>
    <row r="32" spans="3:14" x14ac:dyDescent="0.25">
      <c r="C32" s="3"/>
      <c r="D32" s="29"/>
      <c r="E32" s="29"/>
      <c r="F32" s="29"/>
      <c r="G32" s="29"/>
      <c r="H32" s="29"/>
    </row>
    <row r="33" spans="3:8" x14ac:dyDescent="0.25">
      <c r="C33" s="30" t="s">
        <v>27</v>
      </c>
      <c r="D33" s="31">
        <f>IFERROR(D24/D31,"-   ")</f>
        <v>1.2151376596641883</v>
      </c>
      <c r="E33" s="31">
        <f>IFERROR(E24/E31,"-   ")</f>
        <v>1.2111822953526703</v>
      </c>
      <c r="F33" s="31">
        <f>IFERROR(F24/F31,"-   ")</f>
        <v>1.1777688954319618</v>
      </c>
      <c r="G33" s="31">
        <f>IFERROR(G24/G31,"-   ")</f>
        <v>1.1389697556773859</v>
      </c>
      <c r="H33" s="31">
        <f>IFERROR(H24/H31,"-   ")</f>
        <v>1.1418239255964502</v>
      </c>
    </row>
    <row r="34" spans="3:8" x14ac:dyDescent="0.25">
      <c r="C34" s="32"/>
      <c r="D34" s="33"/>
      <c r="E34" s="33"/>
      <c r="F34" s="33"/>
      <c r="G34" s="33"/>
      <c r="H34" s="33"/>
    </row>
    <row r="35" spans="3:8" ht="16.5" x14ac:dyDescent="0.25">
      <c r="C35" s="34" t="s">
        <v>28</v>
      </c>
      <c r="D35" s="35">
        <f>9160012+1850000</f>
        <v>11010012</v>
      </c>
      <c r="E35" s="35">
        <f t="shared" ref="E35:H35" si="14">D35</f>
        <v>11010012</v>
      </c>
      <c r="F35" s="35">
        <f t="shared" si="14"/>
        <v>11010012</v>
      </c>
      <c r="G35" s="35">
        <f t="shared" si="14"/>
        <v>11010012</v>
      </c>
      <c r="H35" s="35">
        <f t="shared" si="14"/>
        <v>11010012</v>
      </c>
    </row>
    <row r="36" spans="3:8" x14ac:dyDescent="0.25">
      <c r="C36" s="36" t="s">
        <v>29</v>
      </c>
      <c r="D36" s="37">
        <f>D24/D35</f>
        <v>0.9802008917346664</v>
      </c>
      <c r="E36" s="37">
        <f>E24/E35</f>
        <v>1.0898732899628063</v>
      </c>
      <c r="F36" s="37">
        <f>F24/F35</f>
        <v>1.1407587313485936</v>
      </c>
      <c r="G36" s="37">
        <f>G24/G35</f>
        <v>1.134601877632136</v>
      </c>
      <c r="H36" s="37">
        <f>H24/H35</f>
        <v>1.1419554612877421</v>
      </c>
    </row>
    <row r="37" spans="3:8" x14ac:dyDescent="0.25">
      <c r="C37" s="21"/>
      <c r="D37" s="21"/>
      <c r="E37" s="21"/>
      <c r="F37" s="21"/>
      <c r="G37" s="21"/>
      <c r="H37" s="21"/>
    </row>
    <row r="38" spans="3:8" x14ac:dyDescent="0.25">
      <c r="C38" s="341" t="s">
        <v>30</v>
      </c>
      <c r="D38" s="341"/>
      <c r="E38" s="341"/>
      <c r="F38" s="341"/>
      <c r="G38" s="341"/>
      <c r="H38" s="341"/>
    </row>
    <row r="39" spans="3:8" x14ac:dyDescent="0.25">
      <c r="C39" s="9" t="s">
        <v>31</v>
      </c>
      <c r="D39" s="16">
        <f>16693277.16+272042.95+477955.55+106140.9+100057.26+281861.83+206327.72+71764.85</f>
        <v>18209428.219999999</v>
      </c>
      <c r="E39" s="16">
        <f t="shared" ref="E39:H39" si="15">D41</f>
        <v>20120134.120409377</v>
      </c>
      <c r="F39" s="16">
        <f t="shared" si="15"/>
        <v>22212375.531379353</v>
      </c>
      <c r="G39" s="16">
        <f t="shared" si="15"/>
        <v>24108109.042632148</v>
      </c>
      <c r="H39" s="16">
        <f t="shared" si="15"/>
        <v>25632300.040584497</v>
      </c>
    </row>
    <row r="40" spans="3:8" x14ac:dyDescent="0.25">
      <c r="C40" s="9" t="s">
        <v>32</v>
      </c>
      <c r="D40" s="38">
        <f>D24-D31</f>
        <v>1910705.9004093781</v>
      </c>
      <c r="E40" s="38">
        <f>E24-E31</f>
        <v>2092241.4109699763</v>
      </c>
      <c r="F40" s="38">
        <f>F24-F31</f>
        <v>1895733.5112527944</v>
      </c>
      <c r="G40" s="38">
        <f>G24-G31</f>
        <v>1524190.9979523495</v>
      </c>
      <c r="H40" s="38">
        <f>H24-H31</f>
        <v>1561663.0022435766</v>
      </c>
    </row>
    <row r="41" spans="3:8" ht="16.5" x14ac:dyDescent="0.25">
      <c r="C41" s="9" t="s">
        <v>33</v>
      </c>
      <c r="D41" s="38">
        <f>D39+D40</f>
        <v>20120134.120409377</v>
      </c>
      <c r="E41" s="38">
        <f t="shared" ref="E41:H41" si="16">E39+E40</f>
        <v>22212375.531379353</v>
      </c>
      <c r="F41" s="38">
        <f t="shared" si="16"/>
        <v>24108109.042632148</v>
      </c>
      <c r="G41" s="38">
        <f t="shared" si="16"/>
        <v>25632300.040584497</v>
      </c>
      <c r="H41" s="38">
        <f t="shared" si="16"/>
        <v>27193963.042828076</v>
      </c>
    </row>
    <row r="42" spans="3:8" x14ac:dyDescent="0.25">
      <c r="C42" s="39" t="s">
        <v>34</v>
      </c>
      <c r="D42" s="39">
        <f>D41/((D31+D22)/365)</f>
        <v>75.123121943474331</v>
      </c>
      <c r="E42" s="39">
        <f t="shared" ref="E42:H42" si="17">E41/((E31+E22)/365)</f>
        <v>78.372260043052236</v>
      </c>
      <c r="F42" s="39">
        <f t="shared" si="17"/>
        <v>81.888088375661013</v>
      </c>
      <c r="G42" s="39">
        <f t="shared" si="17"/>
        <v>84.984300864965306</v>
      </c>
      <c r="H42" s="39">
        <f t="shared" si="17"/>
        <v>88.796421938890859</v>
      </c>
    </row>
    <row r="44" spans="3:8" x14ac:dyDescent="0.25">
      <c r="C44" s="40" t="s">
        <v>35</v>
      </c>
      <c r="D44" s="13"/>
      <c r="E44" s="13"/>
      <c r="F44" s="13"/>
      <c r="G44" s="13"/>
      <c r="H44" s="13"/>
    </row>
    <row r="45" spans="3:8" x14ac:dyDescent="0.25">
      <c r="C45" s="41" t="s">
        <v>36</v>
      </c>
      <c r="D45" s="42"/>
      <c r="E45" s="42"/>
      <c r="F45" s="42"/>
      <c r="G45" s="42"/>
      <c r="H45" s="42"/>
    </row>
    <row r="46" spans="3:8" x14ac:dyDescent="0.25">
      <c r="C46" t="s">
        <v>37</v>
      </c>
      <c r="D46" s="42"/>
      <c r="E46" s="42"/>
      <c r="F46" s="42"/>
      <c r="G46" s="42"/>
      <c r="H46" s="42"/>
    </row>
    <row r="47" spans="3:8" x14ac:dyDescent="0.25">
      <c r="C47" s="46" t="s">
        <v>38</v>
      </c>
      <c r="D47" s="42"/>
      <c r="E47" s="42"/>
      <c r="F47" s="42"/>
      <c r="G47" s="42"/>
      <c r="H47" s="42"/>
    </row>
    <row r="48" spans="3:8" x14ac:dyDescent="0.25">
      <c r="C48" t="s">
        <v>39</v>
      </c>
      <c r="D48" s="42"/>
      <c r="E48" s="42"/>
      <c r="F48" s="42"/>
      <c r="G48" s="42"/>
      <c r="H48" s="42"/>
    </row>
    <row r="49" spans="3:8" x14ac:dyDescent="0.25">
      <c r="C49" t="s">
        <v>377</v>
      </c>
      <c r="D49" s="42"/>
      <c r="E49" s="42"/>
      <c r="F49" s="42"/>
      <c r="G49" s="42"/>
      <c r="H49" s="42"/>
    </row>
    <row r="51" spans="3:8" x14ac:dyDescent="0.25">
      <c r="C51" s="40" t="s">
        <v>40</v>
      </c>
      <c r="D51" s="13"/>
      <c r="E51" s="13"/>
      <c r="F51" s="13"/>
      <c r="G51" s="13"/>
      <c r="H51" s="13"/>
    </row>
    <row r="52" spans="3:8" x14ac:dyDescent="0.25">
      <c r="C52" s="43" t="s">
        <v>402</v>
      </c>
      <c r="D52" s="42"/>
      <c r="E52" s="42"/>
      <c r="F52" s="42"/>
      <c r="G52" s="42"/>
      <c r="H52" s="42"/>
    </row>
    <row r="53" spans="3:8" x14ac:dyDescent="0.25">
      <c r="C53" t="s">
        <v>41</v>
      </c>
    </row>
    <row r="54" spans="3:8" x14ac:dyDescent="0.25">
      <c r="C54" t="s">
        <v>42</v>
      </c>
      <c r="G54" s="15"/>
      <c r="H54" s="15"/>
    </row>
    <row r="55" spans="3:8" x14ac:dyDescent="0.25">
      <c r="C55" t="s">
        <v>43</v>
      </c>
      <c r="G55" s="44"/>
      <c r="H55" s="44"/>
    </row>
    <row r="56" spans="3:8" x14ac:dyDescent="0.25">
      <c r="C56" s="43" t="s">
        <v>384</v>
      </c>
      <c r="G56" s="45"/>
      <c r="H56" s="45"/>
    </row>
  </sheetData>
  <mergeCells count="1">
    <mergeCell ref="C38:H38"/>
  </mergeCells>
  <pageMargins left="0.7" right="0.7" top="0.75" bottom="0.75" header="0.3" footer="0.3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FA43-F08C-48E3-BA46-80388649E7F4}">
  <sheetPr>
    <pageSetUpPr fitToPage="1"/>
  </sheetPr>
  <dimension ref="A3:M24"/>
  <sheetViews>
    <sheetView workbookViewId="0">
      <selection activeCell="L4" sqref="L4:L6"/>
    </sheetView>
  </sheetViews>
  <sheetFormatPr defaultRowHeight="15" x14ac:dyDescent="0.25"/>
  <cols>
    <col min="2" max="2" width="9.140625" bestFit="1" customWidth="1"/>
    <col min="4" max="4" width="12.7109375" bestFit="1" customWidth="1"/>
    <col min="9" max="13" width="12.7109375" bestFit="1" customWidth="1"/>
  </cols>
  <sheetData>
    <row r="3" spans="1:13" x14ac:dyDescent="0.25">
      <c r="B3" t="s">
        <v>68</v>
      </c>
      <c r="D3" s="42">
        <v>665000</v>
      </c>
      <c r="F3" s="301"/>
      <c r="G3" s="301"/>
      <c r="H3" s="301"/>
      <c r="I3" s="302">
        <v>3057380</v>
      </c>
      <c r="J3" s="302">
        <v>3055485</v>
      </c>
      <c r="K3" s="302">
        <v>3055735</v>
      </c>
      <c r="L3" s="302">
        <v>3063340</v>
      </c>
      <c r="M3" s="302">
        <v>3066845</v>
      </c>
    </row>
    <row r="4" spans="1:13" x14ac:dyDescent="0.25">
      <c r="A4" t="s">
        <v>59</v>
      </c>
      <c r="B4" s="17">
        <f>'FY26'!B17</f>
        <v>910</v>
      </c>
      <c r="C4" s="281">
        <f>B4/$B$11</f>
        <v>0.10660731021555764</v>
      </c>
      <c r="D4" s="42">
        <f>C4*$D$3</f>
        <v>70893.861293345835</v>
      </c>
      <c r="F4" s="301" t="s">
        <v>59</v>
      </c>
      <c r="G4" s="317">
        <f>B4</f>
        <v>910</v>
      </c>
      <c r="H4" s="301">
        <f>G4/$G$7</f>
        <v>0.2912932138284251</v>
      </c>
      <c r="I4" s="303">
        <f>$H$4*I3</f>
        <v>890594.04609475029</v>
      </c>
      <c r="J4" s="303">
        <f t="shared" ref="J4:M4" si="0">$H$4*J3</f>
        <v>890042.04545454553</v>
      </c>
      <c r="K4" s="303">
        <f t="shared" si="0"/>
        <v>890114.86875800253</v>
      </c>
      <c r="L4" s="303">
        <f t="shared" si="0"/>
        <v>892330.15364916774</v>
      </c>
      <c r="M4" s="303">
        <f t="shared" si="0"/>
        <v>893351.13636363635</v>
      </c>
    </row>
    <row r="5" spans="1:13" x14ac:dyDescent="0.25">
      <c r="A5" t="s">
        <v>60</v>
      </c>
      <c r="B5" s="17">
        <f>'FY26'!J17</f>
        <v>2486</v>
      </c>
      <c r="C5" s="281">
        <f t="shared" ref="C5:C10" si="1">B5/$B$11</f>
        <v>0.29123711340206188</v>
      </c>
      <c r="D5" s="42">
        <f t="shared" ref="D5:D10" si="2">C5*$D$3</f>
        <v>193672.68041237115</v>
      </c>
      <c r="F5" s="301" t="s">
        <v>62</v>
      </c>
      <c r="G5" s="317">
        <f>B6</f>
        <v>1030</v>
      </c>
      <c r="H5" s="301">
        <f t="shared" ref="H5:H6" si="3">G5/$G$7</f>
        <v>0.32970550576184376</v>
      </c>
      <c r="I5" s="303">
        <f>$H$5*I3</f>
        <v>1008035.0192061459</v>
      </c>
      <c r="J5" s="303">
        <f t="shared" ref="J5:M5" si="4">$H$5*J3</f>
        <v>1007410.2272727272</v>
      </c>
      <c r="K5" s="303">
        <f t="shared" si="4"/>
        <v>1007492.6536491676</v>
      </c>
      <c r="L5" s="303">
        <f t="shared" si="4"/>
        <v>1010000.0640204864</v>
      </c>
      <c r="M5" s="303">
        <f t="shared" si="4"/>
        <v>1011155.6818181818</v>
      </c>
    </row>
    <row r="6" spans="1:13" x14ac:dyDescent="0.25">
      <c r="A6" t="s">
        <v>62</v>
      </c>
      <c r="B6" s="17">
        <f>'FY26'!R17</f>
        <v>1030</v>
      </c>
      <c r="C6" s="281">
        <f t="shared" si="1"/>
        <v>0.12066541705716964</v>
      </c>
      <c r="D6" s="42">
        <f t="shared" si="2"/>
        <v>80242.502343017812</v>
      </c>
      <c r="F6" s="301" t="s">
        <v>63</v>
      </c>
      <c r="G6" s="317">
        <f>B7</f>
        <v>1184</v>
      </c>
      <c r="H6" s="301">
        <f t="shared" si="3"/>
        <v>0.37900128040973113</v>
      </c>
      <c r="I6" s="303">
        <f>$H$6*I3</f>
        <v>1158750.9346991037</v>
      </c>
      <c r="J6" s="303">
        <f t="shared" ref="J6:M6" si="5">$H$6*J3</f>
        <v>1158032.7272727273</v>
      </c>
      <c r="K6" s="303">
        <f t="shared" si="5"/>
        <v>1158127.4775928298</v>
      </c>
      <c r="L6" s="303">
        <f t="shared" si="5"/>
        <v>1161009.7823303458</v>
      </c>
      <c r="M6" s="303">
        <f t="shared" si="5"/>
        <v>1162338.1818181819</v>
      </c>
    </row>
    <row r="7" spans="1:13" x14ac:dyDescent="0.25">
      <c r="A7" t="s">
        <v>63</v>
      </c>
      <c r="B7" s="17">
        <f>'FY26'!Z17</f>
        <v>1184</v>
      </c>
      <c r="C7" s="281">
        <f t="shared" si="1"/>
        <v>0.13870665417057171</v>
      </c>
      <c r="D7" s="42">
        <f t="shared" si="2"/>
        <v>92239.925023430187</v>
      </c>
      <c r="F7" s="301"/>
      <c r="G7" s="317">
        <f>SUM(G4:G6)</f>
        <v>3124</v>
      </c>
      <c r="H7" s="301"/>
      <c r="I7" s="301"/>
      <c r="J7" s="301"/>
      <c r="K7" s="301"/>
      <c r="L7" s="301"/>
      <c r="M7" s="301"/>
    </row>
    <row r="8" spans="1:13" x14ac:dyDescent="0.25">
      <c r="A8" t="s">
        <v>316</v>
      </c>
      <c r="B8" s="17">
        <f>'FY26'!AH17</f>
        <v>2416</v>
      </c>
      <c r="C8" s="281">
        <f t="shared" si="1"/>
        <v>0.28303655107778819</v>
      </c>
      <c r="D8" s="42">
        <f t="shared" si="2"/>
        <v>188219.30646672915</v>
      </c>
    </row>
    <row r="9" spans="1:13" x14ac:dyDescent="0.25">
      <c r="A9" t="s">
        <v>317</v>
      </c>
      <c r="B9" s="17">
        <f>'FY26'!AP17</f>
        <v>370</v>
      </c>
      <c r="C9" s="281">
        <f t="shared" si="1"/>
        <v>4.3345829428303652E-2</v>
      </c>
      <c r="D9" s="42">
        <f t="shared" si="2"/>
        <v>28824.976569821927</v>
      </c>
    </row>
    <row r="10" spans="1:13" x14ac:dyDescent="0.25">
      <c r="A10" t="s">
        <v>318</v>
      </c>
      <c r="B10" s="17">
        <f>'FY26'!AX17</f>
        <v>140</v>
      </c>
      <c r="C10" s="281">
        <f t="shared" si="1"/>
        <v>1.640112464854733E-2</v>
      </c>
      <c r="D10" s="42">
        <f t="shared" si="2"/>
        <v>10906.747891283974</v>
      </c>
    </row>
    <row r="11" spans="1:13" x14ac:dyDescent="0.25">
      <c r="B11" s="17">
        <f>SUM(B4:B10)</f>
        <v>8536</v>
      </c>
    </row>
    <row r="12" spans="1:13" x14ac:dyDescent="0.25">
      <c r="B12" s="17"/>
    </row>
    <row r="15" spans="1:13" x14ac:dyDescent="0.25">
      <c r="B15" t="s">
        <v>360</v>
      </c>
      <c r="D15" s="71">
        <v>1500000</v>
      </c>
    </row>
    <row r="16" spans="1:13" x14ac:dyDescent="0.25">
      <c r="A16" t="s">
        <v>59</v>
      </c>
      <c r="B16" s="17">
        <f>'FY28'!B17</f>
        <v>927</v>
      </c>
      <c r="C16" s="281">
        <f>B16/$B$23</f>
        <v>0.10070613796849538</v>
      </c>
      <c r="D16" s="71">
        <f>$D$15*C16</f>
        <v>151059.20695274309</v>
      </c>
    </row>
    <row r="17" spans="1:4" x14ac:dyDescent="0.25">
      <c r="A17" t="s">
        <v>60</v>
      </c>
      <c r="B17" s="17">
        <f>'FY28'!J17</f>
        <v>2514</v>
      </c>
      <c r="C17" s="281">
        <f t="shared" ref="C17:C22" si="6">B17/$B$23</f>
        <v>0.27311243889190656</v>
      </c>
      <c r="D17" s="71">
        <f t="shared" ref="D17:D22" si="7">$D$15*C17</f>
        <v>409668.65833785984</v>
      </c>
    </row>
    <row r="18" spans="1:4" x14ac:dyDescent="0.25">
      <c r="A18" t="s">
        <v>62</v>
      </c>
      <c r="B18" s="17">
        <f>'FY28'!R17</f>
        <v>1030</v>
      </c>
      <c r="C18" s="281">
        <f t="shared" si="6"/>
        <v>0.11189570885388377</v>
      </c>
      <c r="D18" s="71">
        <f t="shared" si="7"/>
        <v>167843.56328082565</v>
      </c>
    </row>
    <row r="19" spans="1:4" x14ac:dyDescent="0.25">
      <c r="A19" t="s">
        <v>63</v>
      </c>
      <c r="B19" s="17">
        <f>'FY28'!Z17</f>
        <v>1198</v>
      </c>
      <c r="C19" s="281">
        <f t="shared" si="6"/>
        <v>0.13014665942422596</v>
      </c>
      <c r="D19" s="71">
        <f t="shared" si="7"/>
        <v>195219.98913633893</v>
      </c>
    </row>
    <row r="20" spans="1:4" x14ac:dyDescent="0.25">
      <c r="A20" t="s">
        <v>316</v>
      </c>
      <c r="B20" s="17">
        <f>'FY28'!AH17</f>
        <v>2540</v>
      </c>
      <c r="C20" s="281">
        <f t="shared" si="6"/>
        <v>0.27593699076588812</v>
      </c>
      <c r="D20" s="71">
        <f t="shared" si="7"/>
        <v>413905.48614883219</v>
      </c>
    </row>
    <row r="21" spans="1:4" x14ac:dyDescent="0.25">
      <c r="A21" t="s">
        <v>317</v>
      </c>
      <c r="B21" s="17">
        <f>'FY28'!AP17</f>
        <v>814</v>
      </c>
      <c r="C21" s="281">
        <f t="shared" si="6"/>
        <v>8.8430200977729495E-2</v>
      </c>
      <c r="D21" s="71">
        <f t="shared" si="7"/>
        <v>132645.30146659425</v>
      </c>
    </row>
    <row r="22" spans="1:4" x14ac:dyDescent="0.25">
      <c r="A22" t="s">
        <v>318</v>
      </c>
      <c r="B22" s="17">
        <f>'FY28'!AX17</f>
        <v>182</v>
      </c>
      <c r="C22" s="281">
        <f t="shared" si="6"/>
        <v>1.9771863117870721E-2</v>
      </c>
      <c r="D22" s="71">
        <f t="shared" si="7"/>
        <v>29657.794676806083</v>
      </c>
    </row>
    <row r="23" spans="1:4" x14ac:dyDescent="0.25">
      <c r="B23" s="17">
        <f>SUM(B16:B22)</f>
        <v>9205</v>
      </c>
    </row>
    <row r="24" spans="1:4" x14ac:dyDescent="0.25">
      <c r="B24" s="17"/>
    </row>
  </sheetData>
  <pageMargins left="0.7" right="0.7" top="0.75" bottom="0.75" header="0.3" footer="0.3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E579-FFD0-464A-ADCF-023271624AF0}">
  <dimension ref="A2:F30"/>
  <sheetViews>
    <sheetView workbookViewId="0">
      <selection activeCell="B3" sqref="B3"/>
    </sheetView>
  </sheetViews>
  <sheetFormatPr defaultRowHeight="15" x14ac:dyDescent="0.25"/>
  <cols>
    <col min="2" max="2" width="12.7109375" style="17" bestFit="1" customWidth="1"/>
    <col min="3" max="3" width="8.7109375" style="281"/>
    <col min="4" max="4" width="10.140625" style="71" bestFit="1" customWidth="1"/>
    <col min="6" max="6" width="11.140625" style="71" bestFit="1" customWidth="1"/>
  </cols>
  <sheetData>
    <row r="2" spans="1:6" x14ac:dyDescent="0.25">
      <c r="A2" s="309" t="s">
        <v>359</v>
      </c>
      <c r="B2" s="310">
        <f>2000*500</f>
        <v>1000000</v>
      </c>
      <c r="C2" s="311">
        <v>7.2499999999999995E-2</v>
      </c>
      <c r="D2" s="312">
        <v>24062.400000000001</v>
      </c>
    </row>
    <row r="3" spans="1:6" x14ac:dyDescent="0.25">
      <c r="A3" s="120" t="s">
        <v>360</v>
      </c>
      <c r="B3" s="115">
        <f>105*2000</f>
        <v>210000</v>
      </c>
      <c r="C3" s="314">
        <v>7.4999999999999997E-2</v>
      </c>
      <c r="D3" s="315">
        <v>5077.57</v>
      </c>
    </row>
    <row r="5" spans="1:6" x14ac:dyDescent="0.25">
      <c r="E5" t="s">
        <v>359</v>
      </c>
      <c r="F5" s="312">
        <v>192500</v>
      </c>
    </row>
    <row r="7" spans="1:6" x14ac:dyDescent="0.25">
      <c r="E7" t="s">
        <v>360</v>
      </c>
      <c r="F7" s="312">
        <v>288750</v>
      </c>
    </row>
    <row r="8" spans="1:6" x14ac:dyDescent="0.25">
      <c r="F8" s="315">
        <v>40625</v>
      </c>
    </row>
    <row r="9" spans="1:6" x14ac:dyDescent="0.25">
      <c r="F9" s="71">
        <f>SUM(F7:F8)</f>
        <v>329375</v>
      </c>
    </row>
    <row r="11" spans="1:6" x14ac:dyDescent="0.25">
      <c r="E11" t="s">
        <v>361</v>
      </c>
      <c r="F11" s="312">
        <v>288750</v>
      </c>
    </row>
    <row r="12" spans="1:6" x14ac:dyDescent="0.25">
      <c r="F12" s="315">
        <v>60935</v>
      </c>
    </row>
    <row r="13" spans="1:6" x14ac:dyDescent="0.25">
      <c r="F13" s="71">
        <f>SUM(F11:F12)</f>
        <v>349685</v>
      </c>
    </row>
    <row r="17" spans="5:6" x14ac:dyDescent="0.25">
      <c r="E17" t="s">
        <v>362</v>
      </c>
      <c r="F17" s="312">
        <v>288750</v>
      </c>
    </row>
    <row r="18" spans="5:6" x14ac:dyDescent="0.25">
      <c r="F18" s="315">
        <v>60935</v>
      </c>
    </row>
    <row r="19" spans="5:6" x14ac:dyDescent="0.25">
      <c r="F19" s="71">
        <f>SUM(F17:F18)</f>
        <v>349685</v>
      </c>
    </row>
    <row r="23" spans="5:6" x14ac:dyDescent="0.25">
      <c r="E23" t="s">
        <v>366</v>
      </c>
      <c r="F23" s="312">
        <v>96250</v>
      </c>
    </row>
    <row r="24" spans="5:6" x14ac:dyDescent="0.25">
      <c r="F24" s="315">
        <v>60935</v>
      </c>
    </row>
    <row r="30" spans="5:6" x14ac:dyDescent="0.25">
      <c r="E30" t="s">
        <v>369</v>
      </c>
      <c r="F30" s="315">
        <v>20315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15A2-D2F9-43DD-A7D0-567D2F57835D}">
  <dimension ref="B3:I13"/>
  <sheetViews>
    <sheetView workbookViewId="0">
      <selection activeCell="H25" sqref="H25"/>
    </sheetView>
  </sheetViews>
  <sheetFormatPr defaultRowHeight="15" x14ac:dyDescent="0.25"/>
  <cols>
    <col min="3" max="4" width="14.5703125" bestFit="1" customWidth="1"/>
    <col min="5" max="5" width="21.5703125" bestFit="1" customWidth="1"/>
    <col min="8" max="8" width="15.42578125" bestFit="1" customWidth="1"/>
    <col min="9" max="9" width="21.140625" bestFit="1" customWidth="1"/>
  </cols>
  <sheetData>
    <row r="3" spans="2:9" x14ac:dyDescent="0.25">
      <c r="B3" s="287"/>
      <c r="C3" s="287"/>
      <c r="D3" s="287"/>
      <c r="E3" s="287"/>
      <c r="F3" s="287"/>
      <c r="G3" s="287"/>
      <c r="H3" s="343" t="s">
        <v>341</v>
      </c>
      <c r="I3" s="344"/>
    </row>
    <row r="4" spans="2:9" x14ac:dyDescent="0.25">
      <c r="B4" s="287"/>
      <c r="C4" s="345" t="s">
        <v>342</v>
      </c>
      <c r="D4" s="345"/>
      <c r="E4" s="345"/>
      <c r="F4" s="345"/>
      <c r="G4" s="287"/>
      <c r="H4" s="288" t="s">
        <v>343</v>
      </c>
      <c r="I4" s="288" t="s">
        <v>344</v>
      </c>
    </row>
    <row r="5" spans="2:9" x14ac:dyDescent="0.25">
      <c r="B5" s="287"/>
      <c r="C5" s="289" t="s">
        <v>345</v>
      </c>
      <c r="D5" s="289" t="s">
        <v>4</v>
      </c>
      <c r="E5" s="290" t="s">
        <v>346</v>
      </c>
      <c r="F5" s="290" t="s">
        <v>347</v>
      </c>
      <c r="G5" s="287"/>
      <c r="H5" s="291">
        <v>3000000</v>
      </c>
      <c r="I5" s="292">
        <v>59159</v>
      </c>
    </row>
    <row r="6" spans="2:9" x14ac:dyDescent="0.25">
      <c r="B6" s="290" t="s">
        <v>348</v>
      </c>
      <c r="C6" s="293">
        <f>329425+570</f>
        <v>329995</v>
      </c>
      <c r="D6" s="293">
        <v>384621</v>
      </c>
      <c r="E6" s="294">
        <f>D6-C6</f>
        <v>54626</v>
      </c>
      <c r="F6" s="295">
        <f>E6/C6</f>
        <v>0.1655358414521432</v>
      </c>
      <c r="G6" s="287"/>
      <c r="H6" s="291">
        <v>4000000</v>
      </c>
      <c r="I6" s="292">
        <v>69102</v>
      </c>
    </row>
    <row r="7" spans="2:9" x14ac:dyDescent="0.25">
      <c r="B7" s="290" t="s">
        <v>349</v>
      </c>
      <c r="C7" s="293">
        <v>28053</v>
      </c>
      <c r="D7" s="293">
        <v>32032</v>
      </c>
      <c r="E7" s="294">
        <f t="shared" ref="E7:E12" si="0">D7-C7</f>
        <v>3979</v>
      </c>
      <c r="F7" s="295">
        <f t="shared" ref="F7:F12" si="1">E7/C7</f>
        <v>0.14183866253163654</v>
      </c>
      <c r="G7" s="287"/>
      <c r="H7" s="291">
        <v>5000000</v>
      </c>
      <c r="I7" s="292">
        <v>77393</v>
      </c>
    </row>
    <row r="8" spans="2:9" x14ac:dyDescent="0.25">
      <c r="B8" s="290" t="s">
        <v>350</v>
      </c>
      <c r="C8" s="293">
        <v>76007</v>
      </c>
      <c r="D8" s="296">
        <v>100334</v>
      </c>
      <c r="E8" s="294">
        <f t="shared" si="0"/>
        <v>24327</v>
      </c>
      <c r="F8" s="295">
        <f t="shared" si="1"/>
        <v>0.3200626258107806</v>
      </c>
      <c r="G8" s="287"/>
      <c r="H8" s="291">
        <v>6000000</v>
      </c>
      <c r="I8" s="292">
        <v>82976</v>
      </c>
    </row>
    <row r="9" spans="2:9" x14ac:dyDescent="0.25">
      <c r="B9" s="290" t="s">
        <v>351</v>
      </c>
      <c r="C9" s="293">
        <v>80153</v>
      </c>
      <c r="D9" s="293">
        <v>134092</v>
      </c>
      <c r="E9" s="294">
        <f t="shared" si="0"/>
        <v>53939</v>
      </c>
      <c r="F9" s="295">
        <f t="shared" si="1"/>
        <v>0.67295048220278719</v>
      </c>
      <c r="G9" s="287"/>
      <c r="H9" s="291">
        <v>7000000</v>
      </c>
      <c r="I9" s="292">
        <v>87975</v>
      </c>
    </row>
    <row r="10" spans="2:9" x14ac:dyDescent="0.25">
      <c r="B10" s="290" t="s">
        <v>352</v>
      </c>
      <c r="C10" s="293">
        <v>0</v>
      </c>
      <c r="D10" s="293">
        <v>0</v>
      </c>
      <c r="E10" s="294">
        <f t="shared" si="0"/>
        <v>0</v>
      </c>
      <c r="F10" s="295" t="e">
        <f t="shared" si="1"/>
        <v>#DIV/0!</v>
      </c>
      <c r="G10" s="287"/>
      <c r="H10" s="291">
        <v>8000000</v>
      </c>
      <c r="I10" s="292">
        <v>92499</v>
      </c>
    </row>
    <row r="11" spans="2:9" x14ac:dyDescent="0.25">
      <c r="B11" s="290" t="s">
        <v>353</v>
      </c>
      <c r="C11" s="293">
        <f>12209+350+439.57+50.24</f>
        <v>13048.81</v>
      </c>
      <c r="D11" s="293">
        <f>12209+445+442.9+50.62</f>
        <v>13147.52</v>
      </c>
      <c r="E11" s="294">
        <f t="shared" si="0"/>
        <v>98.710000000000946</v>
      </c>
      <c r="F11" s="295">
        <f t="shared" si="1"/>
        <v>7.5646744798951743E-3</v>
      </c>
      <c r="G11" s="287"/>
      <c r="H11" s="291">
        <v>9000000</v>
      </c>
      <c r="I11" s="292">
        <v>96596</v>
      </c>
    </row>
    <row r="12" spans="2:9" x14ac:dyDescent="0.25">
      <c r="B12" s="297" t="s">
        <v>354</v>
      </c>
      <c r="C12" s="298">
        <f>SUM(C6:C11)</f>
        <v>527256.81000000006</v>
      </c>
      <c r="D12" s="298">
        <f>SUM(D6:D11)</f>
        <v>664226.52</v>
      </c>
      <c r="E12" s="298">
        <f t="shared" si="0"/>
        <v>136969.70999999996</v>
      </c>
      <c r="F12" s="299">
        <f t="shared" si="1"/>
        <v>0.25977798181497164</v>
      </c>
      <c r="G12" s="287"/>
      <c r="H12" s="291">
        <v>10000000</v>
      </c>
      <c r="I12" s="300">
        <v>100334</v>
      </c>
    </row>
    <row r="13" spans="2:9" x14ac:dyDescent="0.25">
      <c r="B13" s="287"/>
      <c r="C13" s="287"/>
      <c r="D13" s="287"/>
      <c r="E13" s="287"/>
      <c r="F13" s="287"/>
      <c r="G13" s="287"/>
      <c r="H13" s="287"/>
      <c r="I13" s="287"/>
    </row>
  </sheetData>
  <mergeCells count="2">
    <mergeCell ref="H3:I3"/>
    <mergeCell ref="C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089B-EEEF-41D1-9326-1A92840EBC0C}">
  <dimension ref="A1:U60"/>
  <sheetViews>
    <sheetView topLeftCell="B1" workbookViewId="0">
      <selection activeCell="J27" sqref="J27"/>
    </sheetView>
  </sheetViews>
  <sheetFormatPr defaultColWidth="8.85546875" defaultRowHeight="12.75" x14ac:dyDescent="0.2"/>
  <cols>
    <col min="1" max="1" width="8.85546875" style="48"/>
    <col min="2" max="2" width="19.5703125" style="48" bestFit="1" customWidth="1"/>
    <col min="3" max="5" width="18.85546875" style="48" customWidth="1"/>
    <col min="6" max="6" width="14.42578125" style="48" bestFit="1" customWidth="1"/>
    <col min="7" max="7" width="19.5703125" style="48" bestFit="1" customWidth="1"/>
    <col min="8" max="10" width="18.85546875" style="48" customWidth="1"/>
    <col min="11" max="11" width="8.85546875" style="48"/>
    <col min="12" max="12" width="19.5703125" style="48" bestFit="1" customWidth="1"/>
    <col min="13" max="15" width="19.5703125" style="48" customWidth="1"/>
    <col min="16" max="18" width="18.85546875" style="48" customWidth="1"/>
    <col min="19" max="19" width="8.85546875" style="48"/>
    <col min="20" max="20" width="18" style="48" customWidth="1"/>
    <col min="21" max="21" width="17.5703125" style="48" customWidth="1"/>
    <col min="22" max="16384" width="8.85546875" style="48"/>
  </cols>
  <sheetData>
    <row r="1" spans="1:20" ht="15.75" x14ac:dyDescent="0.25">
      <c r="A1" s="47"/>
      <c r="B1" s="347" t="s">
        <v>45</v>
      </c>
      <c r="C1" s="347"/>
      <c r="D1" s="347"/>
      <c r="E1" s="347"/>
      <c r="F1" s="47"/>
      <c r="G1" s="347" t="s">
        <v>46</v>
      </c>
      <c r="H1" s="347"/>
      <c r="I1" s="347"/>
      <c r="J1" s="347"/>
      <c r="K1" s="47"/>
      <c r="L1" s="347" t="s">
        <v>47</v>
      </c>
      <c r="M1" s="347"/>
      <c r="N1" s="347"/>
      <c r="O1" s="347"/>
      <c r="P1" s="347"/>
      <c r="Q1" s="347"/>
      <c r="R1" s="347"/>
    </row>
    <row r="2" spans="1:20" ht="15.75" x14ac:dyDescent="0.25">
      <c r="A2" s="47"/>
      <c r="B2" s="347" t="s">
        <v>48</v>
      </c>
      <c r="C2" s="347"/>
      <c r="D2" s="347"/>
      <c r="E2" s="347"/>
      <c r="F2" s="47"/>
      <c r="G2" s="347" t="s">
        <v>49</v>
      </c>
      <c r="H2" s="347"/>
      <c r="I2" s="347"/>
      <c r="J2" s="347"/>
      <c r="K2" s="47"/>
      <c r="L2" s="347" t="s">
        <v>50</v>
      </c>
      <c r="M2" s="347"/>
      <c r="N2" s="347"/>
      <c r="O2" s="347"/>
      <c r="P2" s="347"/>
      <c r="Q2" s="347"/>
      <c r="R2" s="347"/>
    </row>
    <row r="3" spans="1:20" ht="15" x14ac:dyDescent="0.25">
      <c r="M3" s="346" t="s">
        <v>51</v>
      </c>
      <c r="N3" s="346"/>
      <c r="O3" s="49"/>
      <c r="P3" s="346" t="s">
        <v>52</v>
      </c>
      <c r="Q3" s="346"/>
    </row>
    <row r="4" spans="1:20" ht="15" x14ac:dyDescent="0.25">
      <c r="B4" s="49" t="s">
        <v>3</v>
      </c>
      <c r="C4" s="50" t="s">
        <v>53</v>
      </c>
      <c r="D4" s="50" t="s">
        <v>54</v>
      </c>
      <c r="E4" s="49" t="s">
        <v>55</v>
      </c>
      <c r="G4" s="49" t="s">
        <v>3</v>
      </c>
      <c r="H4" s="50" t="s">
        <v>53</v>
      </c>
      <c r="I4" s="50" t="s">
        <v>54</v>
      </c>
      <c r="J4" s="49" t="s">
        <v>55</v>
      </c>
      <c r="L4" s="49" t="s">
        <v>3</v>
      </c>
      <c r="M4" s="50" t="s">
        <v>53</v>
      </c>
      <c r="N4" s="50" t="s">
        <v>54</v>
      </c>
      <c r="O4" s="50"/>
      <c r="P4" s="50" t="s">
        <v>53</v>
      </c>
      <c r="Q4" s="50" t="s">
        <v>54</v>
      </c>
      <c r="R4" s="49" t="s">
        <v>55</v>
      </c>
    </row>
    <row r="5" spans="1:20" x14ac:dyDescent="0.2">
      <c r="B5" s="51"/>
      <c r="C5" s="52"/>
      <c r="D5" s="52"/>
      <c r="E5" s="52"/>
      <c r="G5" s="51"/>
      <c r="H5" s="52"/>
      <c r="I5" s="52"/>
      <c r="J5" s="52"/>
      <c r="L5" s="51"/>
      <c r="M5" s="51"/>
      <c r="N5" s="51"/>
      <c r="O5" s="51"/>
      <c r="P5" s="52"/>
      <c r="Q5" s="52"/>
      <c r="R5" s="52"/>
    </row>
    <row r="6" spans="1:20" x14ac:dyDescent="0.2">
      <c r="B6" s="51">
        <v>43617</v>
      </c>
      <c r="C6" s="52">
        <f>0</f>
        <v>0</v>
      </c>
      <c r="D6" s="52">
        <f>227645.5*4+227645.49</f>
        <v>1138227.49</v>
      </c>
      <c r="E6" s="52">
        <f t="shared" ref="E6:E36" si="0">C6+D6</f>
        <v>1138227.49</v>
      </c>
      <c r="G6" s="51"/>
      <c r="H6" s="52"/>
      <c r="I6" s="52"/>
      <c r="J6" s="52"/>
      <c r="L6" s="51"/>
      <c r="M6" s="51"/>
      <c r="N6" s="51"/>
      <c r="O6" s="51"/>
      <c r="P6" s="52"/>
      <c r="Q6" s="52"/>
      <c r="R6" s="52"/>
    </row>
    <row r="7" spans="1:20" ht="15" x14ac:dyDescent="0.25">
      <c r="B7" s="51">
        <v>43983</v>
      </c>
      <c r="C7" s="52">
        <f>29166.67*11</f>
        <v>320833.37</v>
      </c>
      <c r="D7" s="52">
        <f>227645.5+198913.54*10+198913.52</f>
        <v>2415694.4200000004</v>
      </c>
      <c r="E7" s="52">
        <f t="shared" si="0"/>
        <v>2736527.7900000005</v>
      </c>
      <c r="G7" s="51">
        <v>43983</v>
      </c>
      <c r="H7" s="52">
        <v>0</v>
      </c>
      <c r="I7" s="52">
        <v>0</v>
      </c>
      <c r="J7" s="52">
        <f t="shared" ref="J7:J38" si="1">H7+I7</f>
        <v>0</v>
      </c>
      <c r="L7" s="51"/>
      <c r="M7" s="51"/>
      <c r="N7" s="51"/>
      <c r="O7" s="51"/>
      <c r="P7" s="52"/>
      <c r="Q7" s="52"/>
      <c r="R7" s="52"/>
      <c r="T7" s="49"/>
    </row>
    <row r="8" spans="1:20" x14ac:dyDescent="0.2">
      <c r="B8" s="51">
        <v>44348</v>
      </c>
      <c r="C8" s="52">
        <f>29166.67+32083.33*11</f>
        <v>382083.3</v>
      </c>
      <c r="D8" s="52">
        <f>198913.54+197382.29*10+197382.34</f>
        <v>2370118.7799999998</v>
      </c>
      <c r="E8" s="52">
        <f t="shared" si="0"/>
        <v>2752202.0799999996</v>
      </c>
      <c r="G8" s="51">
        <v>44348</v>
      </c>
      <c r="H8" s="52">
        <f>0</f>
        <v>0</v>
      </c>
      <c r="I8" s="52">
        <f>129919.33+141216.67*10+141216.64</f>
        <v>1683302.6700000004</v>
      </c>
      <c r="J8" s="52">
        <f t="shared" si="1"/>
        <v>1683302.6700000004</v>
      </c>
      <c r="L8" s="51">
        <v>44348</v>
      </c>
      <c r="M8" s="52">
        <v>0</v>
      </c>
      <c r="N8" s="52">
        <f>5548.52*2+4323.52*4+4323.49</f>
        <v>32714.61</v>
      </c>
      <c r="O8" s="52">
        <f>SUM(M8:N8)</f>
        <v>32714.61</v>
      </c>
      <c r="P8" s="52">
        <v>0</v>
      </c>
      <c r="Q8" s="52">
        <f>216390.16*4+173738.75*3+-5590.51</f>
        <v>1381186.3800000001</v>
      </c>
      <c r="R8" s="52">
        <f>M8+N8+P8+Q8</f>
        <v>1413900.9900000002</v>
      </c>
      <c r="T8" s="52"/>
    </row>
    <row r="9" spans="1:20" x14ac:dyDescent="0.2">
      <c r="B9" s="51">
        <v>44713</v>
      </c>
      <c r="C9" s="52">
        <f>32083.33+50000*11</f>
        <v>582083.32999999996</v>
      </c>
      <c r="D9" s="52">
        <f>197382.29+195731.25*10+195731.26</f>
        <v>2350426.0499999998</v>
      </c>
      <c r="E9" s="52">
        <f t="shared" si="0"/>
        <v>2932509.38</v>
      </c>
      <c r="G9" s="51">
        <v>44713</v>
      </c>
      <c r="H9" s="52">
        <f>66666.67*11</f>
        <v>733333.37</v>
      </c>
      <c r="I9" s="52">
        <f>141216.67*11+141216.59</f>
        <v>1694599.9600000002</v>
      </c>
      <c r="J9" s="52">
        <f t="shared" si="1"/>
        <v>2427933.33</v>
      </c>
      <c r="L9" s="51">
        <v>44713</v>
      </c>
      <c r="M9" s="52">
        <v>0</v>
      </c>
      <c r="N9" s="52">
        <f>4323.52*11+4323.48</f>
        <v>51882.2</v>
      </c>
      <c r="O9" s="52">
        <f t="shared" ref="O9:O41" si="2">SUM(M9:N9)</f>
        <v>51882.2</v>
      </c>
      <c r="P9" s="52">
        <v>0</v>
      </c>
      <c r="Q9" s="52">
        <f>173738.75*12</f>
        <v>2084865</v>
      </c>
      <c r="R9" s="52">
        <f t="shared" ref="R9:R41" si="3">M9+N9+P9+Q9</f>
        <v>2136747.2000000002</v>
      </c>
      <c r="T9" s="52"/>
    </row>
    <row r="10" spans="1:20" x14ac:dyDescent="0.2">
      <c r="B10" s="51">
        <v>45078</v>
      </c>
      <c r="C10" s="52">
        <f>50000+54166.67*11</f>
        <v>645833.37</v>
      </c>
      <c r="D10" s="52">
        <f>195731.25+193231.25*10+193231.21</f>
        <v>2321274.96</v>
      </c>
      <c r="E10" s="52">
        <f t="shared" si="0"/>
        <v>2967108.33</v>
      </c>
      <c r="G10" s="51">
        <v>45078</v>
      </c>
      <c r="H10" s="52">
        <f>66666.63+69166.67*11</f>
        <v>827500</v>
      </c>
      <c r="I10" s="52">
        <f>141216.67+138550*11</f>
        <v>1665266.67</v>
      </c>
      <c r="J10" s="52">
        <f t="shared" si="1"/>
        <v>2492766.67</v>
      </c>
      <c r="L10" s="51">
        <v>45078</v>
      </c>
      <c r="M10" s="52">
        <v>0</v>
      </c>
      <c r="N10" s="52">
        <f>4323.52+79440.11*10+79440.05</f>
        <v>878164.67</v>
      </c>
      <c r="O10" s="52">
        <f t="shared" si="2"/>
        <v>878164.67</v>
      </c>
      <c r="P10" s="52">
        <v>0</v>
      </c>
      <c r="Q10" s="52">
        <f>173738.75*12</f>
        <v>2084865</v>
      </c>
      <c r="R10" s="52">
        <f t="shared" si="3"/>
        <v>2963029.67</v>
      </c>
      <c r="T10" s="52"/>
    </row>
    <row r="11" spans="1:20" x14ac:dyDescent="0.2">
      <c r="B11" s="51">
        <v>45444</v>
      </c>
      <c r="C11" s="52">
        <f>54166.67+63750*11</f>
        <v>755416.67</v>
      </c>
      <c r="D11" s="52">
        <f>193231.25+190522.92*10+190522.88</f>
        <v>2288983.33</v>
      </c>
      <c r="E11" s="52">
        <f t="shared" si="0"/>
        <v>3044400</v>
      </c>
      <c r="G11" s="51">
        <v>45444</v>
      </c>
      <c r="H11" s="52">
        <f>69166.67+72083.33*11</f>
        <v>862083.3</v>
      </c>
      <c r="I11" s="52">
        <f>138550+135783.33*10+135783.4</f>
        <v>1632166.6999999997</v>
      </c>
      <c r="J11" s="52">
        <f t="shared" si="1"/>
        <v>2494250</v>
      </c>
      <c r="L11" s="51">
        <v>45444</v>
      </c>
      <c r="M11" s="52">
        <f>8333.33*11</f>
        <v>91666.63</v>
      </c>
      <c r="N11" s="52">
        <f>79440.11*11+79440.09</f>
        <v>953281.29999999993</v>
      </c>
      <c r="O11" s="52">
        <f t="shared" si="2"/>
        <v>1044947.9299999999</v>
      </c>
      <c r="P11" s="52">
        <v>0</v>
      </c>
      <c r="Q11" s="52">
        <f>173738.75*12</f>
        <v>2084865</v>
      </c>
      <c r="R11" s="52">
        <f>M11+N11+P11+Q11</f>
        <v>3129812.9299999997</v>
      </c>
      <c r="T11" s="52">
        <f>R11-M11</f>
        <v>3038146.3</v>
      </c>
    </row>
    <row r="12" spans="1:20" x14ac:dyDescent="0.2">
      <c r="B12" s="51">
        <v>45809</v>
      </c>
      <c r="C12" s="52">
        <f>63750+67083.33*11</f>
        <v>801666.63</v>
      </c>
      <c r="D12" s="52">
        <f>190522.92+187335.42*11</f>
        <v>2251212.54</v>
      </c>
      <c r="E12" s="52">
        <f t="shared" si="0"/>
        <v>3052879.17</v>
      </c>
      <c r="G12" s="51">
        <v>45809</v>
      </c>
      <c r="H12" s="52">
        <f>72083.33+75000*11</f>
        <v>897083.33</v>
      </c>
      <c r="I12" s="52">
        <f>135783.34+132900*11</f>
        <v>1597683.34</v>
      </c>
      <c r="J12" s="52">
        <f t="shared" si="1"/>
        <v>2494766.67</v>
      </c>
      <c r="L12" s="51">
        <v>45809</v>
      </c>
      <c r="M12" s="52">
        <f>8333.33+31666.67*11</f>
        <v>356666.7</v>
      </c>
      <c r="N12" s="52">
        <f>79440.11+78992.19*10+78992.13</f>
        <v>948354.14</v>
      </c>
      <c r="O12" s="52">
        <f t="shared" si="2"/>
        <v>1305020.8400000001</v>
      </c>
      <c r="P12" s="52">
        <v>0</v>
      </c>
      <c r="Q12" s="52">
        <f>173738.75*12</f>
        <v>2084865</v>
      </c>
      <c r="R12" s="52">
        <f t="shared" si="3"/>
        <v>3389885.84</v>
      </c>
      <c r="T12" s="52"/>
    </row>
    <row r="13" spans="1:20" s="53" customFormat="1" x14ac:dyDescent="0.2">
      <c r="B13" s="54">
        <v>46174</v>
      </c>
      <c r="C13" s="55">
        <f>67083.33+70833.33*11</f>
        <v>846249.96</v>
      </c>
      <c r="D13" s="55">
        <f>187335.42+183981.25*10+183981.29</f>
        <v>2211129.21</v>
      </c>
      <c r="E13" s="55">
        <f t="shared" si="0"/>
        <v>3057379.17</v>
      </c>
      <c r="G13" s="54">
        <v>46174</v>
      </c>
      <c r="H13" s="55">
        <f>75000+77916.67*10+77916.63</f>
        <v>932083.33</v>
      </c>
      <c r="I13" s="55">
        <f>132900+129900*11</f>
        <v>1561800</v>
      </c>
      <c r="J13" s="55">
        <f t="shared" si="1"/>
        <v>2493883.33</v>
      </c>
      <c r="L13" s="54">
        <v>46174</v>
      </c>
      <c r="M13" s="55">
        <f>31666.67+33333.33*11</f>
        <v>398333.3</v>
      </c>
      <c r="N13" s="55">
        <f>78992.19+77290.11*10+77290.09</f>
        <v>929183.38</v>
      </c>
      <c r="O13" s="52">
        <f t="shared" si="2"/>
        <v>1327516.68</v>
      </c>
      <c r="P13" s="55">
        <f>40416.67*8+40416.64</f>
        <v>363750</v>
      </c>
      <c r="Q13" s="55">
        <f>173738.75*12</f>
        <v>2084865</v>
      </c>
      <c r="R13" s="55">
        <f t="shared" si="3"/>
        <v>3776131.6799999997</v>
      </c>
      <c r="T13" s="55"/>
    </row>
    <row r="14" spans="1:20" x14ac:dyDescent="0.2">
      <c r="B14" s="51">
        <v>46539</v>
      </c>
      <c r="C14" s="52">
        <f>70833.33+74166.67*11</f>
        <v>886666.7</v>
      </c>
      <c r="D14" s="52">
        <f>183981.25+180439.58*11</f>
        <v>2168816.63</v>
      </c>
      <c r="E14" s="52">
        <f>C14+D14</f>
        <v>3055483.33</v>
      </c>
      <c r="G14" s="51">
        <v>46539</v>
      </c>
      <c r="H14" s="52">
        <f>77916.67+81250*11</f>
        <v>971666.67</v>
      </c>
      <c r="I14" s="52">
        <f>129900+126783.33*10+126783.36</f>
        <v>1524516.6600000001</v>
      </c>
      <c r="J14" s="52">
        <f t="shared" si="1"/>
        <v>2496183.33</v>
      </c>
      <c r="L14" s="51">
        <v>46539</v>
      </c>
      <c r="M14" s="52">
        <f>33333.33+35416.67*11</f>
        <v>422916.7</v>
      </c>
      <c r="N14" s="52">
        <f>77290.11+75498.44*10+75498.38</f>
        <v>907772.89</v>
      </c>
      <c r="O14" s="52">
        <f t="shared" si="2"/>
        <v>1330689.5900000001</v>
      </c>
      <c r="P14" s="52">
        <f>40416.67*3+42916.67*9</f>
        <v>507500.04</v>
      </c>
      <c r="Q14" s="52">
        <f>173738.75*3+171515.83*8+171515.82</f>
        <v>2064858.71</v>
      </c>
      <c r="R14" s="52">
        <f t="shared" si="3"/>
        <v>3903048.34</v>
      </c>
      <c r="T14" s="52"/>
    </row>
    <row r="15" spans="1:20" x14ac:dyDescent="0.2">
      <c r="B15" s="51">
        <v>46905</v>
      </c>
      <c r="C15" s="52">
        <f>74166.67+77916.67*11</f>
        <v>931250.04</v>
      </c>
      <c r="D15" s="52">
        <f>180439.58+176731.25*10+176731.21</f>
        <v>2124483.29</v>
      </c>
      <c r="E15" s="52">
        <f t="shared" si="0"/>
        <v>3055733.33</v>
      </c>
      <c r="G15" s="51">
        <v>46905</v>
      </c>
      <c r="H15" s="52">
        <f>81250+84166.67*11</f>
        <v>1007083.37</v>
      </c>
      <c r="I15" s="52">
        <f>126783.33+123533.33*11</f>
        <v>1485649.9600000002</v>
      </c>
      <c r="J15" s="52">
        <f t="shared" si="1"/>
        <v>2492733.33</v>
      </c>
      <c r="L15" s="51">
        <v>46905</v>
      </c>
      <c r="M15" s="52">
        <f>35416.67+37500*11</f>
        <v>447916.67</v>
      </c>
      <c r="N15" s="52">
        <f>75498.44+73594.79*10+73594.8</f>
        <v>885041.1399999999</v>
      </c>
      <c r="O15" s="52">
        <f t="shared" si="2"/>
        <v>1332957.8099999998</v>
      </c>
      <c r="P15" s="52">
        <f>42916.67*3+45416.67*8+45416.63</f>
        <v>537500</v>
      </c>
      <c r="Q15" s="52">
        <f>171515.83*3+169155.42*8+169155.4</f>
        <v>2036946.25</v>
      </c>
      <c r="R15" s="52">
        <f t="shared" si="3"/>
        <v>3907404.0599999996</v>
      </c>
      <c r="T15" s="52"/>
    </row>
    <row r="16" spans="1:20" x14ac:dyDescent="0.2">
      <c r="B16" s="51">
        <v>47270</v>
      </c>
      <c r="C16" s="52">
        <f>77916.67+82500*11</f>
        <v>985416.67</v>
      </c>
      <c r="D16" s="52">
        <f>176731.25+172835.42*10+172835.38</f>
        <v>2077920.83</v>
      </c>
      <c r="E16" s="52">
        <f t="shared" si="0"/>
        <v>3063337.5</v>
      </c>
      <c r="G16" s="51">
        <v>47270</v>
      </c>
      <c r="H16" s="52">
        <f>84166.67+87916.67*11</f>
        <v>1051250.04</v>
      </c>
      <c r="I16" s="52">
        <f>123533.33+120166.67*10+120166.6</f>
        <v>1445366.6300000001</v>
      </c>
      <c r="J16" s="52">
        <f t="shared" si="1"/>
        <v>2496616.67</v>
      </c>
      <c r="L16" s="51">
        <v>47270</v>
      </c>
      <c r="M16" s="52">
        <f>37500+30833.33*11</f>
        <v>376666.63</v>
      </c>
      <c r="N16" s="52">
        <f>73594.79+71579.17*11</f>
        <v>860965.66</v>
      </c>
      <c r="O16" s="52">
        <f t="shared" si="2"/>
        <v>1237632.29</v>
      </c>
      <c r="P16" s="52">
        <f>45416.67*3+47916.67*9</f>
        <v>567500.04</v>
      </c>
      <c r="Q16" s="52">
        <f>169155.42*3+166657.5*8+166657.45</f>
        <v>2007383.71</v>
      </c>
      <c r="R16" s="52">
        <f t="shared" si="3"/>
        <v>3812516.04</v>
      </c>
      <c r="T16" s="52"/>
    </row>
    <row r="17" spans="2:20" x14ac:dyDescent="0.2">
      <c r="B17" s="51">
        <v>47635</v>
      </c>
      <c r="C17" s="52">
        <f>82500+87500*11</f>
        <v>1045000</v>
      </c>
      <c r="D17" s="52">
        <f>172835.42+168091.67*10+168091.63</f>
        <v>2021843.75</v>
      </c>
      <c r="E17" s="52">
        <f t="shared" si="0"/>
        <v>3066843.75</v>
      </c>
      <c r="G17" s="51">
        <v>47635</v>
      </c>
      <c r="H17" s="52">
        <f>87916.67+91250*11</f>
        <v>1091666.67</v>
      </c>
      <c r="I17" s="52">
        <f>120166.66+116650*11</f>
        <v>1403316.66</v>
      </c>
      <c r="J17" s="52">
        <f t="shared" si="1"/>
        <v>2494983.33</v>
      </c>
      <c r="L17" s="51">
        <v>47635</v>
      </c>
      <c r="M17" s="52">
        <f>30833.33+32083.33*11</f>
        <v>383749.96</v>
      </c>
      <c r="N17" s="52">
        <f>71579.17+70345.83*10+70345.9</f>
        <v>845383.37000000011</v>
      </c>
      <c r="O17" s="52">
        <f t="shared" si="2"/>
        <v>1229133.33</v>
      </c>
      <c r="P17" s="52">
        <f>47916.67*3+50833.33*8+50833.35</f>
        <v>601250</v>
      </c>
      <c r="Q17" s="52">
        <f>166657.5*3+163782.5*9</f>
        <v>1974015</v>
      </c>
      <c r="R17" s="52">
        <f t="shared" si="3"/>
        <v>3804398.33</v>
      </c>
      <c r="T17" s="52"/>
    </row>
    <row r="18" spans="2:20" x14ac:dyDescent="0.2">
      <c r="B18" s="51">
        <v>48000</v>
      </c>
      <c r="C18" s="52">
        <f>87500+92500*11</f>
        <v>1105000</v>
      </c>
      <c r="D18" s="52">
        <f>168091.67+163060.42*10+163060.38</f>
        <v>1961756.25</v>
      </c>
      <c r="E18" s="52">
        <f t="shared" si="0"/>
        <v>3066756.25</v>
      </c>
      <c r="G18" s="51">
        <v>48000</v>
      </c>
      <c r="H18" s="52">
        <f>91250+95000*11</f>
        <v>1136250</v>
      </c>
      <c r="I18" s="52">
        <f>116650+113000*11</f>
        <v>1359650</v>
      </c>
      <c r="J18" s="52">
        <f t="shared" si="1"/>
        <v>2495900</v>
      </c>
      <c r="L18" s="51">
        <v>48000</v>
      </c>
      <c r="M18" s="52">
        <f>32083.33+33333.33*11</f>
        <v>398749.96</v>
      </c>
      <c r="N18" s="52">
        <f>70345.83+69062.5*10+69062.54</f>
        <v>830033.37</v>
      </c>
      <c r="O18" s="52">
        <f t="shared" si="2"/>
        <v>1228783.33</v>
      </c>
      <c r="P18" s="52">
        <f>50833.33*3+54166.67*8+54166.65</f>
        <v>640000</v>
      </c>
      <c r="Q18" s="52">
        <f>163782.5*3+160732.5*9</f>
        <v>1937940</v>
      </c>
      <c r="R18" s="52">
        <f t="shared" si="3"/>
        <v>3806723.33</v>
      </c>
      <c r="T18" s="52"/>
    </row>
    <row r="19" spans="2:20" x14ac:dyDescent="0.2">
      <c r="B19" s="51">
        <v>48366</v>
      </c>
      <c r="C19" s="52">
        <f>92500+97916.67*11</f>
        <v>1169583.3699999999</v>
      </c>
      <c r="D19" s="52">
        <f>163060.42+157741.67*10+157741.59</f>
        <v>1898218.7100000002</v>
      </c>
      <c r="E19" s="52">
        <f t="shared" si="0"/>
        <v>3067802.08</v>
      </c>
      <c r="G19" s="51">
        <v>48366</v>
      </c>
      <c r="H19" s="52">
        <f>95000+98750*11</f>
        <v>1181250</v>
      </c>
      <c r="I19" s="52">
        <f>113000+109200*11</f>
        <v>1314200</v>
      </c>
      <c r="J19" s="52">
        <f t="shared" si="1"/>
        <v>2495450</v>
      </c>
      <c r="L19" s="51">
        <v>48366</v>
      </c>
      <c r="M19" s="52">
        <f>33333.33+35000*11</f>
        <v>418333.33</v>
      </c>
      <c r="N19" s="52">
        <f>69062.5+67395.83*10+67395.87</f>
        <v>810416.67</v>
      </c>
      <c r="O19" s="52">
        <f t="shared" si="2"/>
        <v>1228750</v>
      </c>
      <c r="P19" s="52">
        <f>54166.67*3+57500*8+57499.99</f>
        <v>680000</v>
      </c>
      <c r="Q19" s="52">
        <f>160732.5*3+157482.5*9</f>
        <v>1899540</v>
      </c>
      <c r="R19" s="52">
        <f t="shared" si="3"/>
        <v>3808290</v>
      </c>
      <c r="T19" s="52"/>
    </row>
    <row r="20" spans="2:20" x14ac:dyDescent="0.2">
      <c r="B20" s="51">
        <v>48731</v>
      </c>
      <c r="C20" s="52">
        <f>97916.67+103750*11</f>
        <v>1239166.67</v>
      </c>
      <c r="D20" s="52">
        <f>157741.67+152111.46*10+152111.44</f>
        <v>1830967.7099999997</v>
      </c>
      <c r="E20" s="52">
        <f t="shared" si="0"/>
        <v>3070134.38</v>
      </c>
      <c r="G20" s="51">
        <v>48731</v>
      </c>
      <c r="H20" s="52">
        <f>98750+102500*11</f>
        <v>1226250</v>
      </c>
      <c r="I20" s="52">
        <f>109200+105250*11</f>
        <v>1266950</v>
      </c>
      <c r="J20" s="52">
        <f t="shared" si="1"/>
        <v>2493200</v>
      </c>
      <c r="L20" s="51">
        <v>48731</v>
      </c>
      <c r="M20" s="52">
        <f>35000+36666.67*11</f>
        <v>438333.37</v>
      </c>
      <c r="N20" s="52">
        <f>67395.83+65645.83*11</f>
        <v>789499.96</v>
      </c>
      <c r="O20" s="52">
        <f t="shared" si="2"/>
        <v>1227833.33</v>
      </c>
      <c r="P20" s="52">
        <f>57500*3+60833.33*8+60833.36</f>
        <v>720000</v>
      </c>
      <c r="Q20" s="52">
        <f>157482.5*3+154032.5*9</f>
        <v>1858740</v>
      </c>
      <c r="R20" s="52">
        <f t="shared" si="3"/>
        <v>3806573.33</v>
      </c>
      <c r="T20" s="52"/>
    </row>
    <row r="21" spans="2:20" x14ac:dyDescent="0.2">
      <c r="B21" s="51">
        <v>49096</v>
      </c>
      <c r="C21" s="52">
        <f>103750+110000*11</f>
        <v>1313750</v>
      </c>
      <c r="D21" s="52">
        <f>152111.46+146145.83*10+146145.87</f>
        <v>1759715.63</v>
      </c>
      <c r="E21" s="52">
        <f t="shared" si="0"/>
        <v>3073465.63</v>
      </c>
      <c r="G21" s="51">
        <v>49096</v>
      </c>
      <c r="H21" s="52">
        <f>102500+106666.67*10+106666.63</f>
        <v>1275833.33</v>
      </c>
      <c r="I21" s="52">
        <f>105250+101150*11</f>
        <v>1217900</v>
      </c>
      <c r="J21" s="52">
        <f t="shared" si="1"/>
        <v>2493733.33</v>
      </c>
      <c r="L21" s="51">
        <v>49096</v>
      </c>
      <c r="M21" s="52">
        <f>36666.67+38750*11</f>
        <v>462916.67</v>
      </c>
      <c r="N21" s="52">
        <f>65645.83+63812.5*11</f>
        <v>767583.33</v>
      </c>
      <c r="O21" s="52">
        <f t="shared" si="2"/>
        <v>1230500</v>
      </c>
      <c r="P21" s="52">
        <f>60833.33*3+64583.33*8+64583.37</f>
        <v>763750</v>
      </c>
      <c r="Q21" s="52">
        <f>154032.5*3+150382.5*9</f>
        <v>1815540</v>
      </c>
      <c r="R21" s="52">
        <f t="shared" si="3"/>
        <v>3809790</v>
      </c>
      <c r="T21" s="52"/>
    </row>
    <row r="22" spans="2:20" x14ac:dyDescent="0.2">
      <c r="B22" s="51">
        <v>49461</v>
      </c>
      <c r="C22" s="52">
        <f>110000+116250*11</f>
        <v>1388750</v>
      </c>
      <c r="D22" s="52">
        <f>146145.83+139820.83*10+139820.87</f>
        <v>1684175</v>
      </c>
      <c r="E22" s="52">
        <f t="shared" si="0"/>
        <v>3072925</v>
      </c>
      <c r="G22" s="51">
        <v>49461</v>
      </c>
      <c r="H22" s="52">
        <f>106666.67+110833.33*11</f>
        <v>1325833.3</v>
      </c>
      <c r="I22" s="52">
        <f>101150+96883.33*10+96883.4</f>
        <v>1166866.7</v>
      </c>
      <c r="J22" s="52">
        <f t="shared" si="1"/>
        <v>2492700</v>
      </c>
      <c r="L22" s="51">
        <v>49461</v>
      </c>
      <c r="M22" s="52">
        <f>38750+40416.67*11</f>
        <v>483333.37</v>
      </c>
      <c r="N22" s="52">
        <f>63812.46+61875*11</f>
        <v>744437.46</v>
      </c>
      <c r="O22" s="52">
        <f t="shared" si="2"/>
        <v>1227770.83</v>
      </c>
      <c r="P22" s="52">
        <f>64583.33*3+68750*8+68750.01</f>
        <v>812500</v>
      </c>
      <c r="Q22" s="52">
        <f>150382.5*3+146507.5*9</f>
        <v>1769715</v>
      </c>
      <c r="R22" s="52">
        <f t="shared" si="3"/>
        <v>3809985.83</v>
      </c>
      <c r="T22" s="52"/>
    </row>
    <row r="23" spans="2:20" x14ac:dyDescent="0.2">
      <c r="B23" s="51">
        <v>49827</v>
      </c>
      <c r="C23" s="52">
        <f>116250+123333.33*11</f>
        <v>1472916.6300000001</v>
      </c>
      <c r="D23" s="52">
        <f>139820.83+133136.46*10+133136.48</f>
        <v>1604321.91</v>
      </c>
      <c r="E23" s="52">
        <f t="shared" si="0"/>
        <v>3077238.54</v>
      </c>
      <c r="G23" s="51">
        <v>49827</v>
      </c>
      <c r="H23" s="52">
        <f>110833.33+115416.67*11</f>
        <v>1380416.7</v>
      </c>
      <c r="I23" s="52">
        <f>96883.3+92450*11</f>
        <v>1113833.3</v>
      </c>
      <c r="J23" s="52">
        <f t="shared" si="1"/>
        <v>2494250</v>
      </c>
      <c r="L23" s="51">
        <v>49827</v>
      </c>
      <c r="M23" s="52">
        <f>40416.67+42500*11</f>
        <v>507916.67</v>
      </c>
      <c r="N23" s="52">
        <f>61875+59854.17*10+59854.13</f>
        <v>720270.83</v>
      </c>
      <c r="O23" s="52">
        <f t="shared" si="2"/>
        <v>1228187.5</v>
      </c>
      <c r="P23" s="52">
        <f>68750*3+72916.67*8+72916.64</f>
        <v>862500</v>
      </c>
      <c r="Q23" s="52">
        <f>146507.5*3+142382.5*9</f>
        <v>1720965</v>
      </c>
      <c r="R23" s="52">
        <f t="shared" si="3"/>
        <v>3811652.5</v>
      </c>
      <c r="T23" s="52"/>
    </row>
    <row r="24" spans="2:20" x14ac:dyDescent="0.2">
      <c r="B24" s="51">
        <v>50192</v>
      </c>
      <c r="C24" s="52">
        <f>123333.33+130416.67*11</f>
        <v>1557916.7</v>
      </c>
      <c r="D24" s="52">
        <f>133136.46+126044.79*10+126044.77</f>
        <v>1519629.13</v>
      </c>
      <c r="E24" s="52">
        <f t="shared" si="0"/>
        <v>3077545.83</v>
      </c>
      <c r="G24" s="51">
        <v>50192</v>
      </c>
      <c r="H24" s="52">
        <f>115416.7+120000*11</f>
        <v>1435416.7</v>
      </c>
      <c r="I24" s="52">
        <f>92450+87833.33*11</f>
        <v>1058616.6299999999</v>
      </c>
      <c r="J24" s="52">
        <f t="shared" si="1"/>
        <v>2494033.33</v>
      </c>
      <c r="L24" s="51">
        <v>50192</v>
      </c>
      <c r="M24" s="52">
        <f>42500+44583.33*11</f>
        <v>532916.63</v>
      </c>
      <c r="N24" s="52">
        <f>59854.17+57729.17*11</f>
        <v>694875.04</v>
      </c>
      <c r="O24" s="52">
        <f t="shared" si="2"/>
        <v>1227791.67</v>
      </c>
      <c r="P24" s="52">
        <f>72916.67*3+77500*8+77499.99</f>
        <v>916250</v>
      </c>
      <c r="Q24" s="52">
        <f>142382.5*3+138007.5*9</f>
        <v>1669215</v>
      </c>
      <c r="R24" s="52">
        <f t="shared" si="3"/>
        <v>3813256.67</v>
      </c>
      <c r="T24" s="52"/>
    </row>
    <row r="25" spans="2:20" x14ac:dyDescent="0.2">
      <c r="B25" s="51">
        <v>50557</v>
      </c>
      <c r="C25" s="52">
        <f>130416.67+138333.33*11</f>
        <v>1652083.2999999998</v>
      </c>
      <c r="D25" s="52">
        <f>126044.79+118545.83*10+118545.9</f>
        <v>1430048.99</v>
      </c>
      <c r="E25" s="52">
        <f t="shared" si="0"/>
        <v>3082132.29</v>
      </c>
      <c r="G25" s="51">
        <v>50557</v>
      </c>
      <c r="H25" s="52">
        <f>120000+125000*11</f>
        <v>1495000</v>
      </c>
      <c r="I25" s="52">
        <f>87833.37+83033.33*11</f>
        <v>1001200</v>
      </c>
      <c r="J25" s="52">
        <f t="shared" si="1"/>
        <v>2496200</v>
      </c>
      <c r="L25" s="51">
        <v>50557</v>
      </c>
      <c r="M25" s="52">
        <f>44583.37+47083.33*11</f>
        <v>562500</v>
      </c>
      <c r="N25" s="52">
        <f>57729.17+55500*11</f>
        <v>668229.17000000004</v>
      </c>
      <c r="O25" s="52">
        <f t="shared" si="2"/>
        <v>1230729.17</v>
      </c>
      <c r="P25" s="52">
        <f>77500*3+82083.33*8+82083.36</f>
        <v>971250</v>
      </c>
      <c r="Q25" s="52">
        <f>138007.5*3+133357.5*9</f>
        <v>1614240</v>
      </c>
      <c r="R25" s="52">
        <f t="shared" si="3"/>
        <v>3816219.17</v>
      </c>
      <c r="T25" s="52"/>
    </row>
    <row r="26" spans="2:20" x14ac:dyDescent="0.2">
      <c r="B26" s="51">
        <v>50922</v>
      </c>
      <c r="C26" s="52">
        <f>138333.33+146666.67*11</f>
        <v>1751666.7000000002</v>
      </c>
      <c r="D26" s="52">
        <f>118545.83+110591.67*10+110591.6</f>
        <v>1335054.1300000001</v>
      </c>
      <c r="E26" s="52">
        <f t="shared" si="0"/>
        <v>3086720.83</v>
      </c>
      <c r="G26" s="51">
        <v>50922</v>
      </c>
      <c r="H26" s="52">
        <f>125000+130000*11</f>
        <v>1555000</v>
      </c>
      <c r="I26" s="52">
        <f>83033.37+78033.33*11</f>
        <v>941400</v>
      </c>
      <c r="J26" s="52">
        <f t="shared" si="1"/>
        <v>2496400</v>
      </c>
      <c r="L26" s="51">
        <v>50922</v>
      </c>
      <c r="M26" s="52">
        <f>47083.33+49166.67*11</f>
        <v>587916.69999999995</v>
      </c>
      <c r="N26" s="52">
        <f>55500+53145.83*11</f>
        <v>640104.13</v>
      </c>
      <c r="O26" s="52">
        <f t="shared" si="2"/>
        <v>1228020.83</v>
      </c>
      <c r="P26" s="52">
        <f>82083.33*3+87500*8+87500.01</f>
        <v>1033750</v>
      </c>
      <c r="Q26" s="52">
        <f>133357.5*3+128432.5*9</f>
        <v>1555965</v>
      </c>
      <c r="R26" s="52">
        <f t="shared" si="3"/>
        <v>3817735.83</v>
      </c>
      <c r="T26" s="52"/>
    </row>
    <row r="27" spans="2:20" x14ac:dyDescent="0.2">
      <c r="B27" s="51">
        <v>51288</v>
      </c>
      <c r="C27" s="52">
        <f>146666.67+155000*11</f>
        <v>1851666.67</v>
      </c>
      <c r="D27" s="52">
        <f>110591.67+102158.33*10+102158.36</f>
        <v>1234333.33</v>
      </c>
      <c r="E27" s="52">
        <f t="shared" si="0"/>
        <v>3086000</v>
      </c>
      <c r="G27" s="51">
        <v>51288</v>
      </c>
      <c r="H27" s="52">
        <f>130000+135000*11</f>
        <v>1615000</v>
      </c>
      <c r="I27" s="52">
        <f>78033.37+72833.33*11</f>
        <v>879200</v>
      </c>
      <c r="J27" s="52">
        <f t="shared" si="1"/>
        <v>2494200</v>
      </c>
      <c r="L27" s="51">
        <v>51288</v>
      </c>
      <c r="M27" s="52">
        <f>49166.63+51666.67*11</f>
        <v>617500</v>
      </c>
      <c r="N27" s="52">
        <f>53145.83+50687.5*11</f>
        <v>610708.32999999996</v>
      </c>
      <c r="O27" s="52">
        <f t="shared" si="2"/>
        <v>1228208.33</v>
      </c>
      <c r="P27" s="52">
        <f>87500*3+92916.67*8+92916.64</f>
        <v>1098750</v>
      </c>
      <c r="Q27" s="52">
        <f>128432.5*3+123051.25*9</f>
        <v>1492758.75</v>
      </c>
      <c r="R27" s="52">
        <f t="shared" si="3"/>
        <v>3819717.08</v>
      </c>
      <c r="T27" s="52"/>
    </row>
    <row r="28" spans="2:20" x14ac:dyDescent="0.2">
      <c r="B28" s="51">
        <v>51653</v>
      </c>
      <c r="C28" s="52">
        <f>155000+164166.67*11</f>
        <v>1960833.37</v>
      </c>
      <c r="D28" s="52">
        <f>102158.33+93245.83*11</f>
        <v>1127862.46</v>
      </c>
      <c r="E28" s="52">
        <f t="shared" si="0"/>
        <v>3088695.83</v>
      </c>
      <c r="G28" s="51">
        <v>51653</v>
      </c>
      <c r="H28" s="52">
        <f>135000+140416.67*11</f>
        <v>1679583.37</v>
      </c>
      <c r="I28" s="52">
        <f>72833.33+67433.33*11</f>
        <v>814599.96</v>
      </c>
      <c r="J28" s="52">
        <f t="shared" si="1"/>
        <v>2494183.33</v>
      </c>
      <c r="L28" s="51">
        <v>51653</v>
      </c>
      <c r="M28" s="52">
        <f>51666.63+54166.67*11</f>
        <v>647500</v>
      </c>
      <c r="N28" s="52">
        <f>50687.46+48104.17*11</f>
        <v>579833.32999999996</v>
      </c>
      <c r="O28" s="52">
        <f t="shared" si="2"/>
        <v>1227333.33</v>
      </c>
      <c r="P28" s="52">
        <f>92916.67*3+98750*8+98749.99</f>
        <v>1167500</v>
      </c>
      <c r="Q28" s="52">
        <f>123051.25*3+117336.88*8+117336.84</f>
        <v>1425185.6300000001</v>
      </c>
      <c r="R28" s="52">
        <f t="shared" si="3"/>
        <v>3820018.96</v>
      </c>
      <c r="T28" s="52"/>
    </row>
    <row r="29" spans="2:20" x14ac:dyDescent="0.2">
      <c r="B29" s="51">
        <v>52018</v>
      </c>
      <c r="C29" s="52">
        <f>164166.67+174166.67*11</f>
        <v>2080000.04</v>
      </c>
      <c r="D29" s="52">
        <f>93245.83+83806.25*10+83806.21</f>
        <v>1015114.5399999999</v>
      </c>
      <c r="E29" s="52">
        <f t="shared" si="0"/>
        <v>3095114.58</v>
      </c>
      <c r="G29" s="51">
        <v>52018</v>
      </c>
      <c r="H29" s="52">
        <f>140416.63+146250*11</f>
        <v>1749166.63</v>
      </c>
      <c r="I29" s="52">
        <f>67433.33+61816.67*11</f>
        <v>747416.7</v>
      </c>
      <c r="J29" s="52">
        <f t="shared" si="1"/>
        <v>2496583.33</v>
      </c>
      <c r="L29" s="51">
        <v>52018</v>
      </c>
      <c r="M29" s="52">
        <f>54166.67+57083.33*11</f>
        <v>682083.3</v>
      </c>
      <c r="N29" s="52">
        <f>48104.17+45395.83*10+45395.9</f>
        <v>547458.37</v>
      </c>
      <c r="O29" s="52">
        <f t="shared" si="2"/>
        <v>1229541.67</v>
      </c>
      <c r="P29" s="52">
        <f>98750*3+105000*9</f>
        <v>1241250</v>
      </c>
      <c r="Q29" s="52">
        <f>117336.88*3+111263.75*8+111263.74</f>
        <v>1353384.3800000001</v>
      </c>
      <c r="R29" s="52">
        <f t="shared" si="3"/>
        <v>3824176.05</v>
      </c>
      <c r="T29" s="52"/>
    </row>
    <row r="30" spans="2:20" x14ac:dyDescent="0.2">
      <c r="B30" s="51">
        <v>52383</v>
      </c>
      <c r="C30" s="52">
        <f>174166.67+184166.67*11</f>
        <v>2200000.04</v>
      </c>
      <c r="D30" s="52">
        <f>83806.25+73791.67*10+73791.59</f>
        <v>895514.53999999992</v>
      </c>
      <c r="E30" s="52">
        <f t="shared" si="0"/>
        <v>3095514.58</v>
      </c>
      <c r="G30" s="51">
        <v>52383</v>
      </c>
      <c r="H30" s="52">
        <f>146250+152083.33*11</f>
        <v>1819166.63</v>
      </c>
      <c r="I30" s="52">
        <f>61816.67+55966.67*11</f>
        <v>677450.04</v>
      </c>
      <c r="J30" s="52">
        <f t="shared" si="1"/>
        <v>2496616.67</v>
      </c>
      <c r="L30" s="51">
        <v>52383</v>
      </c>
      <c r="M30" s="52">
        <f>57083.3+60000*11</f>
        <v>717083.3</v>
      </c>
      <c r="N30" s="52">
        <f>45395.83+42541.67*11</f>
        <v>513354.2</v>
      </c>
      <c r="O30" s="52">
        <f t="shared" si="2"/>
        <v>1230437.5</v>
      </c>
      <c r="P30" s="52">
        <f>105000*3+111666.67*8+111666.64</f>
        <v>1319999.9999999998</v>
      </c>
      <c r="Q30" s="52">
        <f>111263.75*3+104806.25*9</f>
        <v>1277047.5</v>
      </c>
      <c r="R30" s="52">
        <f t="shared" si="3"/>
        <v>3827485</v>
      </c>
      <c r="T30" s="52"/>
    </row>
    <row r="31" spans="2:20" x14ac:dyDescent="0.2">
      <c r="B31" s="51">
        <v>52749</v>
      </c>
      <c r="C31" s="52">
        <f>184166.67+195416.67*11</f>
        <v>2333750.04</v>
      </c>
      <c r="D31" s="52">
        <f>73791.67+63202.08*10+63202.07</f>
        <v>769014.54</v>
      </c>
      <c r="E31" s="52">
        <f t="shared" si="0"/>
        <v>3102764.58</v>
      </c>
      <c r="G31" s="51">
        <v>52749</v>
      </c>
      <c r="H31" s="52">
        <f>152083.33+157916.67*11</f>
        <v>1889166.7000000002</v>
      </c>
      <c r="I31" s="52">
        <f>55966.67+49883.33*11</f>
        <v>604683.30000000005</v>
      </c>
      <c r="J31" s="52">
        <f t="shared" si="1"/>
        <v>2493850</v>
      </c>
      <c r="L31" s="51">
        <v>52749</v>
      </c>
      <c r="M31" s="52">
        <f>60000+62916.67*10+62916.63</f>
        <v>752083.33</v>
      </c>
      <c r="N31" s="52">
        <f>42541.63+39541.67*11</f>
        <v>477500</v>
      </c>
      <c r="O31" s="52">
        <f t="shared" si="2"/>
        <v>1229583.33</v>
      </c>
      <c r="P31" s="52">
        <f>111666.67*3+118750*8+118749.99</f>
        <v>1403750</v>
      </c>
      <c r="Q31" s="52">
        <f>104806.25*3+97938.75*9</f>
        <v>1195867.5</v>
      </c>
      <c r="R31" s="52">
        <f t="shared" si="3"/>
        <v>3829200.83</v>
      </c>
      <c r="T31" s="52"/>
    </row>
    <row r="32" spans="2:20" x14ac:dyDescent="0.2">
      <c r="B32" s="51">
        <v>53114</v>
      </c>
      <c r="C32" s="52">
        <f>195416.67+206666.67*11</f>
        <v>2468750.04</v>
      </c>
      <c r="D32" s="52">
        <f>63202.08+51965.63*10+51965.54</f>
        <v>634823.92000000004</v>
      </c>
      <c r="E32" s="52">
        <f t="shared" si="0"/>
        <v>3103573.96</v>
      </c>
      <c r="G32" s="51">
        <v>53114</v>
      </c>
      <c r="H32" s="52">
        <f>157916.6+164166.67*11</f>
        <v>1963749.9700000002</v>
      </c>
      <c r="I32" s="52">
        <f>49883.33+43566.67*11</f>
        <v>529116.69999999995</v>
      </c>
      <c r="J32" s="52">
        <f t="shared" si="1"/>
        <v>2492866.67</v>
      </c>
      <c r="L32" s="51">
        <v>53114</v>
      </c>
      <c r="M32" s="52">
        <f>62916.7+66250*11</f>
        <v>791666.7</v>
      </c>
      <c r="N32" s="52">
        <f>39541.67+36395.83*11</f>
        <v>439895.8</v>
      </c>
      <c r="O32" s="52">
        <f t="shared" si="2"/>
        <v>1231562.5</v>
      </c>
      <c r="P32" s="52">
        <f>118750*3+126250*9</f>
        <v>1492500</v>
      </c>
      <c r="Q32" s="52">
        <f>97938.75*3+90635.63*8+90635.59</f>
        <v>1109536.8800000001</v>
      </c>
      <c r="R32" s="52">
        <f t="shared" si="3"/>
        <v>3833599.38</v>
      </c>
      <c r="T32" s="52"/>
    </row>
    <row r="33" spans="2:21" x14ac:dyDescent="0.2">
      <c r="B33" s="51">
        <v>53479</v>
      </c>
      <c r="C33" s="52">
        <f>206666.67+219166.67*11</f>
        <v>2617500.04</v>
      </c>
      <c r="D33" s="52">
        <f>51965.63+40082.29*10+40082.26</f>
        <v>492870.79000000004</v>
      </c>
      <c r="E33" s="52">
        <f t="shared" si="0"/>
        <v>3110370.83</v>
      </c>
      <c r="G33" s="51">
        <v>53479</v>
      </c>
      <c r="H33" s="52">
        <f>164166.67+170833.33*11</f>
        <v>2043333.2999999998</v>
      </c>
      <c r="I33" s="52">
        <f>43566.7+37000*11</f>
        <v>450566.7</v>
      </c>
      <c r="J33" s="52">
        <f t="shared" si="1"/>
        <v>2493900</v>
      </c>
      <c r="L33" s="51">
        <v>53479</v>
      </c>
      <c r="M33" s="52">
        <f>66250+69166.67*11</f>
        <v>827083.37</v>
      </c>
      <c r="N33" s="52">
        <f>36395.83+33083.33*11</f>
        <v>400312.46</v>
      </c>
      <c r="O33" s="52">
        <f t="shared" si="2"/>
        <v>1227395.83</v>
      </c>
      <c r="P33" s="52">
        <f>126250*3+134583.33*9</f>
        <v>1589999.97</v>
      </c>
      <c r="Q33" s="52">
        <f>90635.63*3+82871.25*8+82871.27</f>
        <v>1017748.16</v>
      </c>
      <c r="R33" s="52">
        <f t="shared" si="3"/>
        <v>3835143.96</v>
      </c>
      <c r="T33" s="52"/>
    </row>
    <row r="34" spans="2:21" x14ac:dyDescent="0.2">
      <c r="B34" s="51">
        <v>53844</v>
      </c>
      <c r="C34" s="52">
        <f>219166.67+232083.33*11</f>
        <v>2772083.3</v>
      </c>
      <c r="D34" s="52">
        <f>40082.29+27480.21*10+27480.23</f>
        <v>342364.61999999994</v>
      </c>
      <c r="E34" s="52">
        <f t="shared" si="0"/>
        <v>3114447.92</v>
      </c>
      <c r="G34" s="51">
        <v>53844</v>
      </c>
      <c r="H34" s="52">
        <f>170833.3+177500*11</f>
        <v>2123333.2999999998</v>
      </c>
      <c r="I34" s="52">
        <f>37000+30166.67*11</f>
        <v>368833.37</v>
      </c>
      <c r="J34" s="52">
        <f t="shared" si="1"/>
        <v>2492166.67</v>
      </c>
      <c r="L34" s="51">
        <v>53844</v>
      </c>
      <c r="M34" s="52">
        <f>69166.63+72916.67*11</f>
        <v>871250</v>
      </c>
      <c r="N34" s="52">
        <f>33083.33+29625*11</f>
        <v>358958.33</v>
      </c>
      <c r="O34" s="52">
        <f t="shared" si="2"/>
        <v>1230208.33</v>
      </c>
      <c r="P34" s="52">
        <f>134583.33*3+142916.67*8+142916.65</f>
        <v>1690000</v>
      </c>
      <c r="Q34" s="52">
        <f>82871.25*3+74594.38*8+74594.34</f>
        <v>919963.13</v>
      </c>
      <c r="R34" s="52">
        <f t="shared" si="3"/>
        <v>3840171.46</v>
      </c>
      <c r="T34" s="52"/>
    </row>
    <row r="35" spans="2:21" x14ac:dyDescent="0.2">
      <c r="B35" s="51">
        <v>54210</v>
      </c>
      <c r="C35" s="52">
        <f>232083.33+245833.33*11</f>
        <v>2936249.96</v>
      </c>
      <c r="D35" s="52">
        <f>27480.21+14135.42*11</f>
        <v>182969.83</v>
      </c>
      <c r="E35" s="52">
        <f t="shared" si="0"/>
        <v>3119219.79</v>
      </c>
      <c r="G35" s="51">
        <v>54210</v>
      </c>
      <c r="H35" s="52">
        <f>177500+184583.33*11</f>
        <v>2207916.63</v>
      </c>
      <c r="I35" s="52">
        <f>30166.67+23066.67*11</f>
        <v>283900.03999999998</v>
      </c>
      <c r="J35" s="52">
        <f t="shared" si="1"/>
        <v>2491816.67</v>
      </c>
      <c r="L35" s="51">
        <v>54210</v>
      </c>
      <c r="M35" s="52">
        <f>72916.67+76250*11</f>
        <v>911666.67</v>
      </c>
      <c r="N35" s="52">
        <f>29625+25979.17*10+25979.13</f>
        <v>315395.82999999996</v>
      </c>
      <c r="O35" s="52">
        <f t="shared" si="2"/>
        <v>1227062.5</v>
      </c>
      <c r="P35" s="52">
        <f>142916.67*3+152083.33*9</f>
        <v>1797499.98</v>
      </c>
      <c r="Q35" s="52">
        <f>74594.38*3+65805*8+65805.01</f>
        <v>816028.15</v>
      </c>
      <c r="R35" s="52">
        <f t="shared" si="3"/>
        <v>3840590.63</v>
      </c>
      <c r="T35" s="52"/>
    </row>
    <row r="36" spans="2:21" x14ac:dyDescent="0.2">
      <c r="B36" s="51">
        <v>54575</v>
      </c>
      <c r="C36" s="52">
        <f>245833.33</f>
        <v>245833.33</v>
      </c>
      <c r="D36" s="52">
        <v>14135.42</v>
      </c>
      <c r="E36" s="52">
        <f t="shared" si="0"/>
        <v>259968.75</v>
      </c>
      <c r="G36" s="51">
        <v>54575</v>
      </c>
      <c r="H36" s="52">
        <f>184583.4+192083.33*11</f>
        <v>2297500.0299999998</v>
      </c>
      <c r="I36" s="52">
        <f>23066.67+15683.33*11</f>
        <v>195583.3</v>
      </c>
      <c r="J36" s="52">
        <f t="shared" si="1"/>
        <v>2493083.3299999996</v>
      </c>
      <c r="L36" s="51">
        <v>54575</v>
      </c>
      <c r="M36" s="52">
        <f>76250+80416.67*10+80416.63</f>
        <v>960833.33</v>
      </c>
      <c r="N36" s="52">
        <f>25979.13+22166.67*11</f>
        <v>269812.5</v>
      </c>
      <c r="O36" s="52">
        <f t="shared" si="2"/>
        <v>1230645.83</v>
      </c>
      <c r="P36" s="52">
        <f>152083.33*3+161666.67*8+161666.65</f>
        <v>1911250</v>
      </c>
      <c r="Q36" s="52">
        <f>65805*3+56451.88*8+56451.84</f>
        <v>705481.88</v>
      </c>
      <c r="R36" s="52">
        <f t="shared" si="3"/>
        <v>3847377.71</v>
      </c>
      <c r="T36" s="52"/>
    </row>
    <row r="37" spans="2:21" x14ac:dyDescent="0.2">
      <c r="B37" s="51"/>
      <c r="C37" s="52"/>
      <c r="D37" s="52"/>
      <c r="E37" s="52"/>
      <c r="G37" s="51">
        <v>54940</v>
      </c>
      <c r="H37" s="52">
        <f>192083.33+200000*11</f>
        <v>2392083.33</v>
      </c>
      <c r="I37" s="52">
        <f>15683.34+8000*11</f>
        <v>103683.34</v>
      </c>
      <c r="J37" s="52">
        <f t="shared" si="1"/>
        <v>2495766.67</v>
      </c>
      <c r="L37" s="51">
        <v>54940</v>
      </c>
      <c r="M37" s="52">
        <f>80416.66+84166.67*11</f>
        <v>1006250.03</v>
      </c>
      <c r="N37" s="52">
        <f>22166.67+18145.83*11</f>
        <v>221770.8</v>
      </c>
      <c r="O37" s="52">
        <f t="shared" si="2"/>
        <v>1228020.83</v>
      </c>
      <c r="P37" s="52">
        <f>161666.67*3+172083.33*8+172083.35</f>
        <v>2033750</v>
      </c>
      <c r="Q37" s="52">
        <f>56451.88*3+46509.38*8+46509.32</f>
        <v>587939.99999999988</v>
      </c>
      <c r="R37" s="52">
        <f t="shared" si="3"/>
        <v>3849710.83</v>
      </c>
      <c r="T37" s="52"/>
    </row>
    <row r="38" spans="2:21" x14ac:dyDescent="0.2">
      <c r="B38" s="51"/>
      <c r="C38" s="52"/>
      <c r="D38" s="52"/>
      <c r="E38" s="52"/>
      <c r="G38" s="51">
        <v>55305</v>
      </c>
      <c r="H38" s="52">
        <v>200000</v>
      </c>
      <c r="I38" s="52">
        <v>8000</v>
      </c>
      <c r="J38" s="52">
        <f t="shared" si="1"/>
        <v>208000</v>
      </c>
      <c r="L38" s="51">
        <v>55305</v>
      </c>
      <c r="M38" s="52">
        <f>84166.67+88333.33*11</f>
        <v>1055833.3</v>
      </c>
      <c r="N38" s="52">
        <f>18145.87+13937.5*11</f>
        <v>171458.37</v>
      </c>
      <c r="O38" s="52">
        <f t="shared" si="2"/>
        <v>1227291.67</v>
      </c>
      <c r="P38" s="52">
        <f>172083.33*3+182916.67*8+182916.65</f>
        <v>2162500</v>
      </c>
      <c r="Q38" s="52">
        <f>46509.38*3+35926.25*8+35926.24</f>
        <v>462864.38</v>
      </c>
      <c r="R38" s="52">
        <f t="shared" si="3"/>
        <v>3852656.05</v>
      </c>
      <c r="T38" s="52"/>
    </row>
    <row r="39" spans="2:21" x14ac:dyDescent="0.2">
      <c r="B39" s="51"/>
      <c r="C39" s="52"/>
      <c r="D39" s="52"/>
      <c r="E39" s="52"/>
      <c r="G39" s="51"/>
      <c r="H39" s="52"/>
      <c r="I39" s="52"/>
      <c r="J39" s="52"/>
      <c r="L39" s="51">
        <v>55671</v>
      </c>
      <c r="M39" s="52">
        <f>88333.33+92916.67*11</f>
        <v>1110416.7</v>
      </c>
      <c r="N39" s="52">
        <f>13937.5+9520.83*11</f>
        <v>118666.63</v>
      </c>
      <c r="O39" s="52">
        <f t="shared" si="2"/>
        <v>1229083.33</v>
      </c>
      <c r="P39" s="52">
        <f>182916.67*3+194583.33*8+194583.31</f>
        <v>2299999.96</v>
      </c>
      <c r="Q39" s="52">
        <f>35926.25*3+24676.88*9</f>
        <v>329870.67000000004</v>
      </c>
      <c r="R39" s="52">
        <f t="shared" si="3"/>
        <v>3858953.96</v>
      </c>
      <c r="T39" s="52"/>
    </row>
    <row r="40" spans="2:21" x14ac:dyDescent="0.2">
      <c r="B40" s="51"/>
      <c r="C40" s="52"/>
      <c r="D40" s="52"/>
      <c r="E40" s="52"/>
      <c r="H40" s="52"/>
      <c r="I40" s="52"/>
      <c r="J40" s="52"/>
      <c r="L40" s="51">
        <v>56036</v>
      </c>
      <c r="M40" s="52">
        <f>92916.67+97500*11</f>
        <v>1165416.67</v>
      </c>
      <c r="N40" s="52">
        <f>9520.83+4875*11</f>
        <v>63145.83</v>
      </c>
      <c r="O40" s="52">
        <f t="shared" si="2"/>
        <v>1228562.5</v>
      </c>
      <c r="P40" s="52">
        <f>194583.33*3+206666.67*8+206666.65</f>
        <v>2443750</v>
      </c>
      <c r="Q40" s="52">
        <f>24676.88*3+12710*8+12709.99</f>
        <v>188420.63</v>
      </c>
      <c r="R40" s="52">
        <f t="shared" si="3"/>
        <v>3860733.13</v>
      </c>
      <c r="T40" s="52"/>
    </row>
    <row r="41" spans="2:21" x14ac:dyDescent="0.2">
      <c r="B41" s="51"/>
      <c r="C41" s="52"/>
      <c r="D41" s="52"/>
      <c r="E41" s="52"/>
      <c r="J41" s="52"/>
      <c r="L41" s="51">
        <v>56401</v>
      </c>
      <c r="M41" s="52">
        <f>97500</f>
        <v>97500</v>
      </c>
      <c r="N41" s="52">
        <f>4875</f>
        <v>4875</v>
      </c>
      <c r="O41" s="52">
        <f t="shared" si="2"/>
        <v>102375</v>
      </c>
      <c r="P41" s="52">
        <f>206666.67*2+206666.66</f>
        <v>620000</v>
      </c>
      <c r="Q41" s="52">
        <f>12710*3</f>
        <v>38130</v>
      </c>
      <c r="R41" s="52">
        <f t="shared" si="3"/>
        <v>760505</v>
      </c>
      <c r="T41" s="52"/>
    </row>
    <row r="42" spans="2:21" x14ac:dyDescent="0.2">
      <c r="B42" s="51"/>
      <c r="C42" s="52"/>
      <c r="D42" s="52"/>
      <c r="E42" s="52"/>
      <c r="J42" s="52"/>
      <c r="R42" s="52"/>
    </row>
    <row r="43" spans="2:21" x14ac:dyDescent="0.2">
      <c r="B43" s="51"/>
      <c r="C43" s="51"/>
      <c r="D43" s="51"/>
      <c r="J43" s="52"/>
      <c r="R43" s="52"/>
    </row>
    <row r="44" spans="2:21" ht="15" x14ac:dyDescent="0.25">
      <c r="B44" s="56" t="s">
        <v>56</v>
      </c>
      <c r="C44" s="57">
        <f>SUM(C5:C42)</f>
        <v>42300000.239999995</v>
      </c>
      <c r="D44" s="57">
        <f>SUM(D5:D42)</f>
        <v>47473022.729999997</v>
      </c>
      <c r="E44" s="57">
        <f>SUM(E5:E42)</f>
        <v>89773022.969999984</v>
      </c>
      <c r="G44" s="56" t="s">
        <v>56</v>
      </c>
      <c r="H44" s="57">
        <f>SUM(H5:H41)</f>
        <v>42365000</v>
      </c>
      <c r="I44" s="57">
        <f>SUM(I5:I41)</f>
        <v>31797319.329999998</v>
      </c>
      <c r="J44" s="57">
        <f>SUM(J5:J41)</f>
        <v>74162319.329999998</v>
      </c>
      <c r="L44" s="56" t="s">
        <v>56</v>
      </c>
      <c r="M44" s="57">
        <f>SUM(M6:M42)</f>
        <v>19084999.990000002</v>
      </c>
      <c r="N44" s="57">
        <f>SUM(N6:N42)</f>
        <v>19051339.099999994</v>
      </c>
      <c r="O44" s="57"/>
      <c r="P44" s="57">
        <f>SUM(P6:P42)</f>
        <v>34249999.989999995</v>
      </c>
      <c r="Q44" s="57">
        <f>SUM(Q6:Q42)</f>
        <v>48650802.690000013</v>
      </c>
      <c r="R44" s="57">
        <f>SUM(R6:R42)</f>
        <v>121037141.76999994</v>
      </c>
    </row>
    <row r="45" spans="2:21" x14ac:dyDescent="0.2">
      <c r="B45" s="58"/>
      <c r="C45" s="58"/>
      <c r="D45" s="58"/>
      <c r="J45" s="52"/>
    </row>
    <row r="46" spans="2:21" ht="17.25" x14ac:dyDescent="0.4">
      <c r="B46" s="58"/>
      <c r="C46" s="58"/>
      <c r="D46" s="59" t="s">
        <v>57</v>
      </c>
      <c r="E46" s="60">
        <f>MAX(E5:E42)</f>
        <v>3119219.79</v>
      </c>
      <c r="I46" s="59" t="s">
        <v>57</v>
      </c>
      <c r="J46" s="60">
        <f>MAX(J5:J42)</f>
        <v>2496616.67</v>
      </c>
      <c r="Q46" s="59" t="s">
        <v>57</v>
      </c>
      <c r="R46" s="60">
        <f>MAX(R5:R42)</f>
        <v>3907404.0599999996</v>
      </c>
      <c r="T46" s="59" t="s">
        <v>58</v>
      </c>
      <c r="U46" s="60">
        <f>E46+J46+R46</f>
        <v>9523240.5199999996</v>
      </c>
    </row>
    <row r="47" spans="2:21" x14ac:dyDescent="0.2">
      <c r="B47" s="58"/>
      <c r="C47" s="58"/>
      <c r="D47" s="58"/>
      <c r="J47" s="52"/>
    </row>
    <row r="48" spans="2:21" ht="15" x14ac:dyDescent="0.25">
      <c r="C48" s="61">
        <f>E48/E51</f>
        <v>0.32813905186515402</v>
      </c>
      <c r="D48" t="s">
        <v>59</v>
      </c>
      <c r="E48" s="62">
        <v>12423092.25</v>
      </c>
      <c r="H48" s="61">
        <v>1</v>
      </c>
      <c r="I48" t="s">
        <v>60</v>
      </c>
      <c r="J48" s="62">
        <v>35849937</v>
      </c>
      <c r="P48" s="61">
        <v>1</v>
      </c>
      <c r="Q48" t="s">
        <v>61</v>
      </c>
      <c r="R48" s="62"/>
    </row>
    <row r="49" spans="1:18" ht="15" x14ac:dyDescent="0.25">
      <c r="C49" s="61">
        <f>E49/E51</f>
        <v>0.31407726581503759</v>
      </c>
      <c r="D49" t="s">
        <v>62</v>
      </c>
      <c r="E49" s="62">
        <v>11890723.84</v>
      </c>
      <c r="J49" s="63">
        <f>SUM(J47:J48)</f>
        <v>35849937</v>
      </c>
      <c r="R49" s="63"/>
    </row>
    <row r="50" spans="1:18" ht="15" x14ac:dyDescent="0.25">
      <c r="C50" s="61">
        <f>E50/E51</f>
        <v>0.35778368231980845</v>
      </c>
      <c r="D50" t="s">
        <v>63</v>
      </c>
      <c r="E50" s="62">
        <v>13545415.17</v>
      </c>
      <c r="J50" s="63"/>
    </row>
    <row r="51" spans="1:18" ht="15" x14ac:dyDescent="0.25">
      <c r="C51"/>
      <c r="D51"/>
      <c r="E51" s="64">
        <f>SUM(E48:E50)</f>
        <v>37859231.259999998</v>
      </c>
      <c r="P51" s="61"/>
      <c r="Q51"/>
    </row>
    <row r="52" spans="1:18" ht="15" x14ac:dyDescent="0.25">
      <c r="B52" s="65"/>
      <c r="C52" s="65"/>
      <c r="D52" s="65" t="s">
        <v>53</v>
      </c>
      <c r="E52" s="66" t="s">
        <v>54</v>
      </c>
      <c r="F52" s="65"/>
      <c r="G52" s="65"/>
      <c r="H52" s="65"/>
      <c r="I52" s="65"/>
      <c r="J52" s="66"/>
    </row>
    <row r="53" spans="1:18" ht="15" x14ac:dyDescent="0.25">
      <c r="A53" s="67">
        <v>926</v>
      </c>
      <c r="B53" t="s">
        <v>59</v>
      </c>
      <c r="C53" s="68">
        <f>(A53/$A$56)-0.015</f>
        <v>0.27943561208267087</v>
      </c>
      <c r="D53" s="66">
        <f>$C$13*C53</f>
        <v>236472.37554753572</v>
      </c>
      <c r="E53" s="66">
        <f>$D$13*C53</f>
        <v>617868.24419022247</v>
      </c>
      <c r="F53" s="66">
        <f>E53+D53</f>
        <v>854340.61973775818</v>
      </c>
      <c r="G53" s="65"/>
      <c r="H53" s="65"/>
      <c r="I53" s="65"/>
      <c r="J53" s="66"/>
    </row>
    <row r="54" spans="1:18" ht="15" x14ac:dyDescent="0.25">
      <c r="A54" s="67">
        <v>1020</v>
      </c>
      <c r="B54" t="s">
        <v>62</v>
      </c>
      <c r="C54" s="68">
        <f>(A54/$A$56)+0.0075</f>
        <v>0.33182432432432435</v>
      </c>
      <c r="D54" s="66">
        <f>$C$13*C54</f>
        <v>280806.32118648652</v>
      </c>
      <c r="E54" s="66">
        <f>$D$13*C54</f>
        <v>733706.45610202709</v>
      </c>
      <c r="F54" s="66">
        <f t="shared" ref="F54:F56" si="4">E54+D54</f>
        <v>1014512.7772885136</v>
      </c>
    </row>
    <row r="55" spans="1:18" ht="15" x14ac:dyDescent="0.25">
      <c r="A55" s="17">
        <v>1199</v>
      </c>
      <c r="B55" t="s">
        <v>63</v>
      </c>
      <c r="C55" s="68">
        <f>(A55/$A$56)+0.0075</f>
        <v>0.38874006359300478</v>
      </c>
      <c r="D55" s="66">
        <f>$C$13*C55</f>
        <v>328971.26326597773</v>
      </c>
      <c r="E55" s="66">
        <f>$D$13*C55</f>
        <v>859554.5097077504</v>
      </c>
      <c r="F55" s="66">
        <f t="shared" si="4"/>
        <v>1188525.7729737281</v>
      </c>
    </row>
    <row r="56" spans="1:18" ht="15" x14ac:dyDescent="0.25">
      <c r="A56" s="17">
        <f>SUM(A53:A55)</f>
        <v>3145</v>
      </c>
      <c r="C56" s="69">
        <f>SUM(C53:C55)</f>
        <v>1</v>
      </c>
      <c r="D56" s="52">
        <f>SUM(D53:D55)</f>
        <v>846249.96</v>
      </c>
      <c r="E56" s="52">
        <f>SUM(E53:E55)</f>
        <v>2211129.21</v>
      </c>
      <c r="F56" s="66">
        <f t="shared" si="4"/>
        <v>3057379.17</v>
      </c>
    </row>
    <row r="57" spans="1:18" ht="15" x14ac:dyDescent="0.25">
      <c r="E57" s="70">
        <f>E56+D56</f>
        <v>3057379.17</v>
      </c>
    </row>
    <row r="59" spans="1:18" ht="15" x14ac:dyDescent="0.25">
      <c r="B59" s="65"/>
      <c r="C59" s="65"/>
      <c r="D59" s="65"/>
      <c r="E59" s="66"/>
    </row>
    <row r="60" spans="1:18" ht="15" x14ac:dyDescent="0.25">
      <c r="B60" s="65"/>
      <c r="C60" s="65"/>
      <c r="D60" s="65"/>
      <c r="E60" s="66"/>
    </row>
  </sheetData>
  <mergeCells count="8">
    <mergeCell ref="M3:N3"/>
    <mergeCell ref="P3:Q3"/>
    <mergeCell ref="B1:E1"/>
    <mergeCell ref="G1:J1"/>
    <mergeCell ref="L1:R1"/>
    <mergeCell ref="B2:E2"/>
    <mergeCell ref="G2:J2"/>
    <mergeCell ref="L2:R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6EE6-E406-46B3-BF12-311157F1D206}">
  <dimension ref="A1:S60"/>
  <sheetViews>
    <sheetView topLeftCell="M6" zoomScale="90" zoomScaleNormal="90" workbookViewId="0">
      <selection activeCell="E22" sqref="E22"/>
    </sheetView>
  </sheetViews>
  <sheetFormatPr defaultRowHeight="15" x14ac:dyDescent="0.25"/>
  <cols>
    <col min="1" max="1" width="8.7109375" style="48"/>
    <col min="2" max="2" width="19.5703125" style="48" bestFit="1" customWidth="1"/>
    <col min="3" max="5" width="18.85546875" style="48" customWidth="1"/>
    <col min="6" max="6" width="14.42578125" style="48" bestFit="1" customWidth="1"/>
    <col min="7" max="7" width="19.5703125" style="48" bestFit="1" customWidth="1"/>
    <col min="8" max="10" width="18.85546875" style="48" customWidth="1"/>
    <col min="11" max="11" width="8.85546875" style="48"/>
    <col min="12" max="12" width="19.5703125" style="48" bestFit="1" customWidth="1"/>
    <col min="13" max="16" width="19.5703125" style="48" customWidth="1"/>
    <col min="17" max="17" width="18.85546875" style="48" customWidth="1"/>
    <col min="19" max="19" width="14.28515625" bestFit="1" customWidth="1"/>
  </cols>
  <sheetData>
    <row r="1" spans="1:19" ht="15.75" x14ac:dyDescent="0.25">
      <c r="A1" s="47"/>
      <c r="B1" s="347" t="s">
        <v>45</v>
      </c>
      <c r="C1" s="347"/>
      <c r="D1" s="347"/>
      <c r="E1" s="347"/>
      <c r="F1" s="47"/>
      <c r="G1" s="347" t="s">
        <v>46</v>
      </c>
      <c r="H1" s="347"/>
      <c r="I1" s="347"/>
      <c r="J1" s="347"/>
      <c r="K1" s="47"/>
      <c r="L1" s="347" t="s">
        <v>47</v>
      </c>
      <c r="M1" s="347"/>
      <c r="N1" s="347"/>
      <c r="O1" s="347"/>
      <c r="P1" s="347"/>
      <c r="Q1" s="347"/>
    </row>
    <row r="2" spans="1:19" ht="15.75" x14ac:dyDescent="0.25">
      <c r="A2" s="47"/>
      <c r="B2" s="347" t="s">
        <v>48</v>
      </c>
      <c r="C2" s="347"/>
      <c r="D2" s="347"/>
      <c r="E2" s="347"/>
      <c r="F2" s="47"/>
      <c r="G2" s="347" t="s">
        <v>49</v>
      </c>
      <c r="H2" s="347"/>
      <c r="I2" s="347"/>
      <c r="J2" s="347"/>
      <c r="K2" s="47"/>
      <c r="L2" s="347" t="s">
        <v>50</v>
      </c>
      <c r="M2" s="347"/>
      <c r="N2" s="347"/>
      <c r="O2" s="347"/>
      <c r="P2" s="347"/>
      <c r="Q2" s="347"/>
    </row>
    <row r="3" spans="1:19" x14ac:dyDescent="0.25">
      <c r="M3" s="346" t="s">
        <v>51</v>
      </c>
      <c r="N3" s="346"/>
      <c r="O3" s="49"/>
      <c r="P3" s="49"/>
    </row>
    <row r="4" spans="1:19" x14ac:dyDescent="0.25">
      <c r="B4" s="49" t="s">
        <v>3</v>
      </c>
      <c r="C4" s="50" t="s">
        <v>53</v>
      </c>
      <c r="D4" s="50" t="s">
        <v>54</v>
      </c>
      <c r="E4" s="49" t="s">
        <v>55</v>
      </c>
      <c r="G4" s="49" t="s">
        <v>3</v>
      </c>
      <c r="H4" s="50" t="s">
        <v>53</v>
      </c>
      <c r="I4" s="50" t="s">
        <v>54</v>
      </c>
      <c r="J4" s="49" t="s">
        <v>55</v>
      </c>
      <c r="L4" s="49" t="s">
        <v>3</v>
      </c>
      <c r="M4" s="50" t="s">
        <v>53</v>
      </c>
      <c r="N4" s="50" t="s">
        <v>54</v>
      </c>
      <c r="O4" s="50"/>
      <c r="P4" s="50" t="s">
        <v>385</v>
      </c>
      <c r="Q4" s="49" t="s">
        <v>55</v>
      </c>
    </row>
    <row r="5" spans="1:19" x14ac:dyDescent="0.25">
      <c r="B5" s="51"/>
      <c r="C5" s="52"/>
      <c r="D5" s="52"/>
      <c r="E5" s="52"/>
      <c r="G5" s="51"/>
      <c r="H5" s="52"/>
      <c r="I5" s="52"/>
      <c r="J5" s="52"/>
      <c r="L5" s="51"/>
      <c r="M5" s="51"/>
      <c r="N5" s="51"/>
      <c r="O5" s="51"/>
      <c r="P5" s="51"/>
      <c r="Q5" s="52"/>
    </row>
    <row r="6" spans="1:19" x14ac:dyDescent="0.25">
      <c r="B6" s="51">
        <v>43617</v>
      </c>
      <c r="C6" s="52">
        <f>0</f>
        <v>0</v>
      </c>
      <c r="D6" s="52">
        <f>227645.5*4+227645.49</f>
        <v>1138227.49</v>
      </c>
      <c r="E6" s="52">
        <f t="shared" ref="E6:E36" si="0">C6+D6</f>
        <v>1138227.49</v>
      </c>
      <c r="G6" s="51"/>
      <c r="H6" s="52"/>
      <c r="I6" s="52"/>
      <c r="J6" s="52"/>
      <c r="L6" s="51"/>
      <c r="M6" s="51"/>
      <c r="N6" s="51"/>
      <c r="O6" s="51"/>
      <c r="P6" s="51"/>
      <c r="Q6" s="52"/>
    </row>
    <row r="7" spans="1:19" x14ac:dyDescent="0.25">
      <c r="B7" s="51">
        <v>43983</v>
      </c>
      <c r="C7" s="52">
        <f>29166.67*11</f>
        <v>320833.37</v>
      </c>
      <c r="D7" s="52">
        <f>227645.5+198913.54*10+198913.52</f>
        <v>2415694.4200000004</v>
      </c>
      <c r="E7" s="52">
        <f t="shared" si="0"/>
        <v>2736527.7900000005</v>
      </c>
      <c r="G7" s="51">
        <v>43983</v>
      </c>
      <c r="H7" s="52">
        <v>0</v>
      </c>
      <c r="I7" s="52">
        <v>0</v>
      </c>
      <c r="J7" s="52">
        <f t="shared" ref="J7:J38" si="1">H7+I7</f>
        <v>0</v>
      </c>
      <c r="L7" s="51"/>
      <c r="M7" s="51"/>
      <c r="N7" s="51"/>
      <c r="O7" s="51"/>
      <c r="P7" s="51"/>
      <c r="Q7" s="52"/>
    </row>
    <row r="8" spans="1:19" x14ac:dyDescent="0.25">
      <c r="B8" s="51">
        <v>44348</v>
      </c>
      <c r="C8" s="52">
        <f>29166.67+32083.33*11</f>
        <v>382083.3</v>
      </c>
      <c r="D8" s="52">
        <f>198913.54+197382.29*10+197382.34</f>
        <v>2370118.7799999998</v>
      </c>
      <c r="E8" s="52">
        <f t="shared" si="0"/>
        <v>2752202.0799999996</v>
      </c>
      <c r="G8" s="51">
        <v>44348</v>
      </c>
      <c r="H8" s="52">
        <f>0</f>
        <v>0</v>
      </c>
      <c r="I8" s="52">
        <f>129919.33+141216.67*10+141216.64</f>
        <v>1683302.6700000004</v>
      </c>
      <c r="J8" s="52">
        <f t="shared" si="1"/>
        <v>1683302.6700000004</v>
      </c>
      <c r="L8" s="51">
        <v>44348</v>
      </c>
      <c r="M8" s="52">
        <v>0</v>
      </c>
      <c r="N8" s="52">
        <f>5548.52*2+4323.52*4+4323.49</f>
        <v>32714.61</v>
      </c>
      <c r="O8" s="52">
        <f>SUM(M8:N8)</f>
        <v>32714.61</v>
      </c>
      <c r="P8" s="52"/>
      <c r="Q8" s="52">
        <f>O8+P8</f>
        <v>32714.61</v>
      </c>
      <c r="S8" s="42">
        <f>Q8+J8+E8</f>
        <v>4468219.3600000003</v>
      </c>
    </row>
    <row r="9" spans="1:19" x14ac:dyDescent="0.25">
      <c r="B9" s="51">
        <v>44713</v>
      </c>
      <c r="C9" s="52">
        <f>32083.33+50000*11</f>
        <v>582083.32999999996</v>
      </c>
      <c r="D9" s="52">
        <f>197382.29+195731.25*10+195731.26</f>
        <v>2350426.0499999998</v>
      </c>
      <c r="E9" s="52">
        <f t="shared" si="0"/>
        <v>2932509.38</v>
      </c>
      <c r="G9" s="51">
        <v>44713</v>
      </c>
      <c r="H9" s="52">
        <f>66666.67*11</f>
        <v>733333.37</v>
      </c>
      <c r="I9" s="52">
        <f>141216.67*11+141216.59</f>
        <v>1694599.9600000002</v>
      </c>
      <c r="J9" s="52">
        <f t="shared" si="1"/>
        <v>2427933.33</v>
      </c>
      <c r="L9" s="51">
        <v>44713</v>
      </c>
      <c r="M9" s="52">
        <v>0</v>
      </c>
      <c r="N9" s="52">
        <f>4323.52*11+4323.48</f>
        <v>51882.2</v>
      </c>
      <c r="O9" s="52">
        <f t="shared" ref="O9:O41" si="2">SUM(M9:N9)</f>
        <v>51882.2</v>
      </c>
      <c r="P9" s="52"/>
      <c r="Q9" s="52">
        <f t="shared" ref="Q9:Q41" si="3">O9+P9</f>
        <v>51882.2</v>
      </c>
      <c r="S9" s="42">
        <f t="shared" ref="S9:S39" si="4">Q9+J9+E9</f>
        <v>5412324.9100000001</v>
      </c>
    </row>
    <row r="10" spans="1:19" x14ac:dyDescent="0.25">
      <c r="B10" s="51">
        <v>45078</v>
      </c>
      <c r="C10" s="52">
        <f>50000+54166.67*11</f>
        <v>645833.37</v>
      </c>
      <c r="D10" s="52">
        <f>195731.25+193231.25*10+193231.21</f>
        <v>2321274.96</v>
      </c>
      <c r="E10" s="52">
        <f t="shared" si="0"/>
        <v>2967108.33</v>
      </c>
      <c r="G10" s="51">
        <v>45078</v>
      </c>
      <c r="H10" s="52">
        <f>66666.63+69166.67*11</f>
        <v>827500</v>
      </c>
      <c r="I10" s="52">
        <f>141216.67+138550*11</f>
        <v>1665266.67</v>
      </c>
      <c r="J10" s="52">
        <f t="shared" si="1"/>
        <v>2492766.67</v>
      </c>
      <c r="L10" s="51">
        <v>45078</v>
      </c>
      <c r="M10" s="52">
        <v>0</v>
      </c>
      <c r="N10" s="52">
        <f>4323.52+79440.11*10+79440.05</f>
        <v>878164.67</v>
      </c>
      <c r="O10" s="52">
        <f t="shared" si="2"/>
        <v>878164.67</v>
      </c>
      <c r="P10" s="52"/>
      <c r="Q10" s="52">
        <f t="shared" si="3"/>
        <v>878164.67</v>
      </c>
      <c r="S10" s="42">
        <f t="shared" si="4"/>
        <v>6338039.6699999999</v>
      </c>
    </row>
    <row r="11" spans="1:19" x14ac:dyDescent="0.25">
      <c r="B11" s="51">
        <v>45444</v>
      </c>
      <c r="C11" s="52">
        <f>54166.67+63750*11</f>
        <v>755416.67</v>
      </c>
      <c r="D11" s="52">
        <f>193231.25+190522.92*10+190522.88</f>
        <v>2288983.33</v>
      </c>
      <c r="E11" s="52">
        <f t="shared" si="0"/>
        <v>3044400</v>
      </c>
      <c r="G11" s="51">
        <v>45444</v>
      </c>
      <c r="H11" s="52">
        <f>69166.67+72083.33*11</f>
        <v>862083.3</v>
      </c>
      <c r="I11" s="52">
        <f>138550+135783.33*10+135783.4</f>
        <v>1632166.6999999997</v>
      </c>
      <c r="J11" s="52">
        <f t="shared" si="1"/>
        <v>2494250</v>
      </c>
      <c r="L11" s="51">
        <v>45444</v>
      </c>
      <c r="M11" s="52">
        <f>8333.33*11</f>
        <v>91666.63</v>
      </c>
      <c r="N11" s="52">
        <f>79440.11*11+79440.09</f>
        <v>953281.29999999993</v>
      </c>
      <c r="O11" s="52">
        <f t="shared" si="2"/>
        <v>1044947.9299999999</v>
      </c>
      <c r="P11" s="52"/>
      <c r="Q11" s="52">
        <f t="shared" si="3"/>
        <v>1044947.9299999999</v>
      </c>
      <c r="S11" s="42">
        <f t="shared" si="4"/>
        <v>6583597.9299999997</v>
      </c>
    </row>
    <row r="12" spans="1:19" x14ac:dyDescent="0.25">
      <c r="B12" s="51">
        <v>45809</v>
      </c>
      <c r="C12" s="52">
        <f>63750+67083.33*11</f>
        <v>801666.63</v>
      </c>
      <c r="D12" s="52">
        <f>190522.92+187335.42*11</f>
        <v>2251212.54</v>
      </c>
      <c r="E12" s="52">
        <f t="shared" si="0"/>
        <v>3052879.17</v>
      </c>
      <c r="G12" s="51">
        <v>45809</v>
      </c>
      <c r="H12" s="52">
        <f>72083.33+75000*11</f>
        <v>897083.33</v>
      </c>
      <c r="I12" s="52">
        <f>135783.34+132900*11</f>
        <v>1597683.34</v>
      </c>
      <c r="J12" s="52">
        <f t="shared" si="1"/>
        <v>2494766.67</v>
      </c>
      <c r="L12" s="51">
        <v>45809</v>
      </c>
      <c r="M12" s="52">
        <f>8333.33+31666.67*11</f>
        <v>356666.7</v>
      </c>
      <c r="N12" s="52">
        <f>79440.11+78992.19*10+78992.13</f>
        <v>948354.14</v>
      </c>
      <c r="O12" s="52">
        <f t="shared" si="2"/>
        <v>1305020.8400000001</v>
      </c>
      <c r="P12" s="52"/>
      <c r="Q12" s="52">
        <f t="shared" si="3"/>
        <v>1305020.8400000001</v>
      </c>
      <c r="S12" s="42">
        <f t="shared" si="4"/>
        <v>6852666.6799999997</v>
      </c>
    </row>
    <row r="13" spans="1:19" s="309" customFormat="1" x14ac:dyDescent="0.25">
      <c r="A13" s="53"/>
      <c r="B13" s="54">
        <v>46174</v>
      </c>
      <c r="C13" s="55">
        <f>67083.33+70833.33*11</f>
        <v>846249.96</v>
      </c>
      <c r="D13" s="55">
        <f>187335.42+183981.25*10+183981.29</f>
        <v>2211129.21</v>
      </c>
      <c r="E13" s="55">
        <f t="shared" si="0"/>
        <v>3057379.17</v>
      </c>
      <c r="F13" s="53"/>
      <c r="G13" s="54">
        <v>46174</v>
      </c>
      <c r="H13" s="55">
        <f>75000+77916.67*10+77916.63</f>
        <v>932083.33</v>
      </c>
      <c r="I13" s="55">
        <f>132900+129900*11</f>
        <v>1561800</v>
      </c>
      <c r="J13" s="55">
        <f t="shared" si="1"/>
        <v>2493883.33</v>
      </c>
      <c r="K13" s="53"/>
      <c r="L13" s="54">
        <v>46174</v>
      </c>
      <c r="M13" s="55">
        <f>31666.67+33333.33*11</f>
        <v>398333.3</v>
      </c>
      <c r="N13" s="55">
        <f>78992.19+77290.11*10+77290.09</f>
        <v>929183.38</v>
      </c>
      <c r="O13" s="55">
        <f t="shared" si="2"/>
        <v>1327516.68</v>
      </c>
      <c r="P13" s="55">
        <v>1725031.32</v>
      </c>
      <c r="Q13" s="55">
        <f t="shared" si="3"/>
        <v>3052548</v>
      </c>
      <c r="S13" s="316">
        <f t="shared" si="4"/>
        <v>8603810.5</v>
      </c>
    </row>
    <row r="14" spans="1:19" x14ac:dyDescent="0.25">
      <c r="B14" s="51">
        <v>46539</v>
      </c>
      <c r="C14" s="52">
        <f>70833.33+74166.67*11</f>
        <v>886666.7</v>
      </c>
      <c r="D14" s="52">
        <f>183981.25+180439.58*11</f>
        <v>2168816.63</v>
      </c>
      <c r="E14" s="52">
        <f>C14+D14</f>
        <v>3055483.33</v>
      </c>
      <c r="G14" s="51">
        <v>46539</v>
      </c>
      <c r="H14" s="52">
        <f>77916.67+81250*11</f>
        <v>971666.67</v>
      </c>
      <c r="I14" s="52">
        <f>129900+126783.33*10+126783.36</f>
        <v>1524516.6600000001</v>
      </c>
      <c r="J14" s="52">
        <f t="shared" si="1"/>
        <v>2496183.33</v>
      </c>
      <c r="L14" s="51">
        <v>46539</v>
      </c>
      <c r="M14" s="52">
        <f>33333.33+35416.67*11</f>
        <v>422916.7</v>
      </c>
      <c r="N14" s="52">
        <f>77290.11+75498.44*10+75498.38</f>
        <v>907772.89</v>
      </c>
      <c r="O14" s="52">
        <f t="shared" si="2"/>
        <v>1330689.5900000001</v>
      </c>
      <c r="P14" s="52">
        <v>2024862.5</v>
      </c>
      <c r="Q14" s="52">
        <f t="shared" si="3"/>
        <v>3355552.09</v>
      </c>
      <c r="S14" s="42">
        <f t="shared" si="4"/>
        <v>8907218.75</v>
      </c>
    </row>
    <row r="15" spans="1:19" x14ac:dyDescent="0.25">
      <c r="B15" s="51">
        <v>46905</v>
      </c>
      <c r="C15" s="52">
        <f>74166.67+77916.67*11</f>
        <v>931250.04</v>
      </c>
      <c r="D15" s="52">
        <f>180439.58+176731.25*10+176731.21</f>
        <v>2124483.29</v>
      </c>
      <c r="E15" s="52">
        <f t="shared" si="0"/>
        <v>3055733.33</v>
      </c>
      <c r="G15" s="51">
        <v>46905</v>
      </c>
      <c r="H15" s="52">
        <f>81250+84166.67*11</f>
        <v>1007083.37</v>
      </c>
      <c r="I15" s="52">
        <f>126783.33+123533.33*11</f>
        <v>1485649.9600000002</v>
      </c>
      <c r="J15" s="52">
        <f t="shared" si="1"/>
        <v>2492733.33</v>
      </c>
      <c r="L15" s="51">
        <v>46905</v>
      </c>
      <c r="M15" s="52">
        <f>35416.67+37500*11</f>
        <v>447916.67</v>
      </c>
      <c r="N15" s="52">
        <f>75498.44+73594.79*10+73594.8</f>
        <v>885041.1399999999</v>
      </c>
      <c r="O15" s="52">
        <f t="shared" si="2"/>
        <v>1332957.8099999998</v>
      </c>
      <c r="P15" s="52">
        <v>2232587.5</v>
      </c>
      <c r="Q15" s="52">
        <f t="shared" si="3"/>
        <v>3565545.3099999996</v>
      </c>
      <c r="S15" s="42">
        <f t="shared" si="4"/>
        <v>9114011.9699999988</v>
      </c>
    </row>
    <row r="16" spans="1:19" x14ac:dyDescent="0.25">
      <c r="B16" s="51">
        <v>47270</v>
      </c>
      <c r="C16" s="52">
        <f>77916.67+82500*11</f>
        <v>985416.67</v>
      </c>
      <c r="D16" s="52">
        <f>176731.25+172835.42*10+172835.38</f>
        <v>2077920.83</v>
      </c>
      <c r="E16" s="52">
        <f t="shared" si="0"/>
        <v>3063337.5</v>
      </c>
      <c r="G16" s="51">
        <v>47270</v>
      </c>
      <c r="H16" s="52">
        <f>84166.67+87916.67*11</f>
        <v>1051250.04</v>
      </c>
      <c r="I16" s="52">
        <f>123533.33+120166.67*10+120166.6</f>
        <v>1445366.6300000001</v>
      </c>
      <c r="J16" s="52">
        <f t="shared" si="1"/>
        <v>2496616.67</v>
      </c>
      <c r="L16" s="51">
        <v>47270</v>
      </c>
      <c r="M16" s="52">
        <f>37500+30833.33*11</f>
        <v>376666.63</v>
      </c>
      <c r="N16" s="52">
        <f>73594.79+71579.17*11</f>
        <v>860965.66</v>
      </c>
      <c r="O16" s="52">
        <f t="shared" si="2"/>
        <v>1237632.29</v>
      </c>
      <c r="P16" s="52">
        <v>2343187.5</v>
      </c>
      <c r="Q16" s="52">
        <f t="shared" si="3"/>
        <v>3580819.79</v>
      </c>
      <c r="S16" s="42">
        <f t="shared" si="4"/>
        <v>9140773.9600000009</v>
      </c>
    </row>
    <row r="17" spans="2:19" x14ac:dyDescent="0.25">
      <c r="B17" s="51">
        <v>47635</v>
      </c>
      <c r="C17" s="52">
        <f>82500+87500*11</f>
        <v>1045000</v>
      </c>
      <c r="D17" s="52">
        <f>172835.42+168091.67*10+168091.63</f>
        <v>2021843.75</v>
      </c>
      <c r="E17" s="52">
        <f t="shared" si="0"/>
        <v>3066843.75</v>
      </c>
      <c r="G17" s="51">
        <v>47635</v>
      </c>
      <c r="H17" s="52">
        <f>87916.67+91250*11</f>
        <v>1091666.67</v>
      </c>
      <c r="I17" s="52">
        <f>120166.66+116650*11</f>
        <v>1403316.66</v>
      </c>
      <c r="J17" s="52">
        <f t="shared" si="1"/>
        <v>2494983.33</v>
      </c>
      <c r="L17" s="51">
        <v>47635</v>
      </c>
      <c r="M17" s="52">
        <f>30833.33+32083.33*11</f>
        <v>383749.96</v>
      </c>
      <c r="N17" s="52">
        <f>71579.17+70345.83*10+70345.9</f>
        <v>845383.37000000011</v>
      </c>
      <c r="O17" s="52">
        <f t="shared" si="2"/>
        <v>1229133.33</v>
      </c>
      <c r="P17" s="52">
        <v>2345287.5</v>
      </c>
      <c r="Q17" s="52">
        <f t="shared" si="3"/>
        <v>3574420.83</v>
      </c>
      <c r="S17" s="42">
        <f t="shared" si="4"/>
        <v>9136247.9100000001</v>
      </c>
    </row>
    <row r="18" spans="2:19" x14ac:dyDescent="0.25">
      <c r="B18" s="51">
        <v>48000</v>
      </c>
      <c r="C18" s="52">
        <f>87500+92500*11</f>
        <v>1105000</v>
      </c>
      <c r="D18" s="52">
        <f>168091.67+163060.42*10+163060.38</f>
        <v>1961756.25</v>
      </c>
      <c r="E18" s="52">
        <f t="shared" si="0"/>
        <v>3066756.25</v>
      </c>
      <c r="G18" s="51">
        <v>48000</v>
      </c>
      <c r="H18" s="52">
        <f>91250+95000*11</f>
        <v>1136250</v>
      </c>
      <c r="I18" s="52">
        <f>116650+113000*11</f>
        <v>1359650</v>
      </c>
      <c r="J18" s="52">
        <f t="shared" si="1"/>
        <v>2495900</v>
      </c>
      <c r="L18" s="51">
        <v>48000</v>
      </c>
      <c r="M18" s="52">
        <f>32083.33+33333.33*11</f>
        <v>398749.96</v>
      </c>
      <c r="N18" s="52">
        <f>70345.83+69062.5*10+69062.54</f>
        <v>830033.37</v>
      </c>
      <c r="O18" s="52">
        <f t="shared" si="2"/>
        <v>1228783.33</v>
      </c>
      <c r="P18" s="52">
        <v>2341087.5</v>
      </c>
      <c r="Q18" s="52">
        <f t="shared" si="3"/>
        <v>3569870.83</v>
      </c>
      <c r="S18" s="42">
        <f t="shared" si="4"/>
        <v>9132527.0800000001</v>
      </c>
    </row>
    <row r="19" spans="2:19" x14ac:dyDescent="0.25">
      <c r="B19" s="51">
        <v>48366</v>
      </c>
      <c r="C19" s="52">
        <f>92500+97916.67*11</f>
        <v>1169583.3699999999</v>
      </c>
      <c r="D19" s="52">
        <f>163060.42+157741.67*10+157741.59</f>
        <v>1898218.7100000002</v>
      </c>
      <c r="E19" s="52">
        <f t="shared" si="0"/>
        <v>3067802.08</v>
      </c>
      <c r="G19" s="51">
        <v>48366</v>
      </c>
      <c r="H19" s="52">
        <f>95000+98750*11</f>
        <v>1181250</v>
      </c>
      <c r="I19" s="52">
        <f>113000+109200*11</f>
        <v>1314200</v>
      </c>
      <c r="J19" s="52">
        <f t="shared" si="1"/>
        <v>2495450</v>
      </c>
      <c r="L19" s="51">
        <v>48366</v>
      </c>
      <c r="M19" s="52">
        <f>33333.33+35000*11</f>
        <v>418333.33</v>
      </c>
      <c r="N19" s="52">
        <f>69062.5+67395.83*10+67395.87</f>
        <v>810416.67</v>
      </c>
      <c r="O19" s="52">
        <f t="shared" si="2"/>
        <v>1228750</v>
      </c>
      <c r="P19" s="52">
        <v>2340587.5</v>
      </c>
      <c r="Q19" s="52">
        <f t="shared" si="3"/>
        <v>3569337.5</v>
      </c>
      <c r="S19" s="42">
        <f t="shared" si="4"/>
        <v>9132589.5800000001</v>
      </c>
    </row>
    <row r="20" spans="2:19" x14ac:dyDescent="0.25">
      <c r="B20" s="51">
        <v>48731</v>
      </c>
      <c r="C20" s="52">
        <f>97916.67+103750*11</f>
        <v>1239166.67</v>
      </c>
      <c r="D20" s="52">
        <f>157741.67+152111.46*10+152111.44</f>
        <v>1830967.7099999997</v>
      </c>
      <c r="E20" s="52">
        <f t="shared" si="0"/>
        <v>3070134.38</v>
      </c>
      <c r="G20" s="51">
        <v>48731</v>
      </c>
      <c r="H20" s="52">
        <f>98750+102500*11</f>
        <v>1226250</v>
      </c>
      <c r="I20" s="52">
        <f>109200+105250*11</f>
        <v>1266950</v>
      </c>
      <c r="J20" s="52">
        <f t="shared" si="1"/>
        <v>2493200</v>
      </c>
      <c r="L20" s="51">
        <v>48731</v>
      </c>
      <c r="M20" s="52">
        <f>35000+36666.67*11</f>
        <v>438333.37</v>
      </c>
      <c r="N20" s="52">
        <f>67395.83+65645.83*11</f>
        <v>789499.96</v>
      </c>
      <c r="O20" s="52">
        <f t="shared" si="2"/>
        <v>1227833.33</v>
      </c>
      <c r="P20" s="52">
        <v>2343587.5</v>
      </c>
      <c r="Q20" s="52">
        <f t="shared" si="3"/>
        <v>3571420.83</v>
      </c>
      <c r="S20" s="42">
        <f t="shared" si="4"/>
        <v>9134755.2100000009</v>
      </c>
    </row>
    <row r="21" spans="2:19" x14ac:dyDescent="0.25">
      <c r="B21" s="51">
        <v>49096</v>
      </c>
      <c r="C21" s="52">
        <f>103750+110000*11</f>
        <v>1313750</v>
      </c>
      <c r="D21" s="52">
        <f>152111.46+146145.83*10+146145.87</f>
        <v>1759715.63</v>
      </c>
      <c r="E21" s="52">
        <f t="shared" si="0"/>
        <v>3073465.63</v>
      </c>
      <c r="G21" s="51">
        <v>49096</v>
      </c>
      <c r="H21" s="52">
        <f>102500+106666.67*10+106666.63</f>
        <v>1275833.33</v>
      </c>
      <c r="I21" s="52">
        <f>105250+101150*11</f>
        <v>1217900</v>
      </c>
      <c r="J21" s="52">
        <f t="shared" si="1"/>
        <v>2493733.33</v>
      </c>
      <c r="L21" s="51">
        <v>49096</v>
      </c>
      <c r="M21" s="52">
        <f>36666.67+38750*11</f>
        <v>462916.67</v>
      </c>
      <c r="N21" s="52">
        <f>65645.83+63812.5*11</f>
        <v>767583.33</v>
      </c>
      <c r="O21" s="52">
        <f t="shared" si="2"/>
        <v>1230500</v>
      </c>
      <c r="P21" s="52">
        <v>2340087.5</v>
      </c>
      <c r="Q21" s="52">
        <f t="shared" si="3"/>
        <v>3570587.5</v>
      </c>
      <c r="S21" s="42">
        <f t="shared" si="4"/>
        <v>9137786.4600000009</v>
      </c>
    </row>
    <row r="22" spans="2:19" x14ac:dyDescent="0.25">
      <c r="B22" s="51">
        <v>49461</v>
      </c>
      <c r="C22" s="52">
        <f>110000+116250*11</f>
        <v>1388750</v>
      </c>
      <c r="D22" s="52">
        <f>146145.83+139820.83*10+139820.87</f>
        <v>1684175</v>
      </c>
      <c r="E22" s="52">
        <f t="shared" si="0"/>
        <v>3072925</v>
      </c>
      <c r="G22" s="51">
        <v>49461</v>
      </c>
      <c r="H22" s="52">
        <f>106666.67+110833.33*11</f>
        <v>1325833.3</v>
      </c>
      <c r="I22" s="52">
        <f>101150+96883.33*10+96883.4</f>
        <v>1166866.7</v>
      </c>
      <c r="J22" s="52">
        <f t="shared" si="1"/>
        <v>2492700</v>
      </c>
      <c r="L22" s="51">
        <v>49461</v>
      </c>
      <c r="M22" s="52">
        <f>38750+40416.67*11</f>
        <v>483333.37</v>
      </c>
      <c r="N22" s="52">
        <f>63812.46+61875*11</f>
        <v>744437.46</v>
      </c>
      <c r="O22" s="52">
        <f t="shared" si="2"/>
        <v>1227770.83</v>
      </c>
      <c r="P22" s="52">
        <v>2340087.5</v>
      </c>
      <c r="Q22" s="52">
        <f t="shared" si="3"/>
        <v>3567858.33</v>
      </c>
      <c r="S22" s="42">
        <f t="shared" si="4"/>
        <v>9133483.3300000001</v>
      </c>
    </row>
    <row r="23" spans="2:19" x14ac:dyDescent="0.25">
      <c r="B23" s="51">
        <v>49827</v>
      </c>
      <c r="C23" s="52">
        <f>116250+123333.33*11</f>
        <v>1472916.6300000001</v>
      </c>
      <c r="D23" s="52">
        <f>139820.83+133136.46*10+133136.48</f>
        <v>1604321.91</v>
      </c>
      <c r="E23" s="52">
        <f t="shared" si="0"/>
        <v>3077238.54</v>
      </c>
      <c r="G23" s="51">
        <v>49827</v>
      </c>
      <c r="H23" s="52">
        <f>110833.33+115416.67*11</f>
        <v>1380416.7</v>
      </c>
      <c r="I23" s="52">
        <f>96883.3+92450*11</f>
        <v>1113833.3</v>
      </c>
      <c r="J23" s="52">
        <f t="shared" si="1"/>
        <v>2494250</v>
      </c>
      <c r="L23" s="51">
        <v>49827</v>
      </c>
      <c r="M23" s="52">
        <f>40416.67+42500*11</f>
        <v>507916.67</v>
      </c>
      <c r="N23" s="52">
        <f>61875+59854.17*10+59854.13</f>
        <v>720270.83</v>
      </c>
      <c r="O23" s="52">
        <f t="shared" si="2"/>
        <v>1228187.5</v>
      </c>
      <c r="P23" s="52">
        <v>2338487.5</v>
      </c>
      <c r="Q23" s="52">
        <f t="shared" si="3"/>
        <v>3566675</v>
      </c>
      <c r="S23" s="42">
        <f t="shared" si="4"/>
        <v>9138163.5399999991</v>
      </c>
    </row>
    <row r="24" spans="2:19" x14ac:dyDescent="0.25">
      <c r="B24" s="51">
        <v>50192</v>
      </c>
      <c r="C24" s="52">
        <f>123333.33+130416.67*11</f>
        <v>1557916.7</v>
      </c>
      <c r="D24" s="52">
        <f>133136.46+126044.79*10+126044.77</f>
        <v>1519629.13</v>
      </c>
      <c r="E24" s="52">
        <f t="shared" si="0"/>
        <v>3077545.83</v>
      </c>
      <c r="G24" s="51">
        <v>50192</v>
      </c>
      <c r="H24" s="52">
        <f>115416.7+120000*11</f>
        <v>1435416.7</v>
      </c>
      <c r="I24" s="52">
        <f>92450+87833.33*11</f>
        <v>1058616.6299999999</v>
      </c>
      <c r="J24" s="52">
        <f t="shared" si="1"/>
        <v>2494033.33</v>
      </c>
      <c r="L24" s="51">
        <v>50192</v>
      </c>
      <c r="M24" s="52">
        <f>42500+44583.33*11</f>
        <v>532916.63</v>
      </c>
      <c r="N24" s="52">
        <f>59854.17+57729.17*11</f>
        <v>694875.04</v>
      </c>
      <c r="O24" s="52">
        <f t="shared" si="2"/>
        <v>1227791.67</v>
      </c>
      <c r="P24" s="52">
        <v>2340187.5</v>
      </c>
      <c r="Q24" s="52">
        <f t="shared" si="3"/>
        <v>3567979.17</v>
      </c>
      <c r="S24" s="42">
        <f t="shared" si="4"/>
        <v>9139558.3300000001</v>
      </c>
    </row>
    <row r="25" spans="2:19" x14ac:dyDescent="0.25">
      <c r="B25" s="51">
        <v>50557</v>
      </c>
      <c r="C25" s="52">
        <f>130416.67+138333.33*11</f>
        <v>1652083.2999999998</v>
      </c>
      <c r="D25" s="52">
        <f>126044.79+118545.83*10+118545.9</f>
        <v>1430048.99</v>
      </c>
      <c r="E25" s="52">
        <f t="shared" si="0"/>
        <v>3082132.29</v>
      </c>
      <c r="G25" s="51">
        <v>50557</v>
      </c>
      <c r="H25" s="52">
        <f>120000+125000*11</f>
        <v>1495000</v>
      </c>
      <c r="I25" s="52">
        <f>87833.37+83033.33*11</f>
        <v>1001200</v>
      </c>
      <c r="J25" s="52">
        <f t="shared" si="1"/>
        <v>2496200</v>
      </c>
      <c r="L25" s="51">
        <v>50557</v>
      </c>
      <c r="M25" s="52">
        <f>44583.37+47083.33*11</f>
        <v>562500</v>
      </c>
      <c r="N25" s="52">
        <f>57729.17+55500*11</f>
        <v>668229.17000000004</v>
      </c>
      <c r="O25" s="52">
        <f t="shared" si="2"/>
        <v>1230729.17</v>
      </c>
      <c r="P25" s="52">
        <v>2335187.5</v>
      </c>
      <c r="Q25" s="52">
        <f t="shared" si="3"/>
        <v>3565916.67</v>
      </c>
      <c r="S25" s="42">
        <f t="shared" si="4"/>
        <v>9144248.9600000009</v>
      </c>
    </row>
    <row r="26" spans="2:19" x14ac:dyDescent="0.25">
      <c r="B26" s="51">
        <v>50922</v>
      </c>
      <c r="C26" s="52">
        <f>138333.33+146666.67*11</f>
        <v>1751666.7000000002</v>
      </c>
      <c r="D26" s="52">
        <f>118545.83+110591.67*10+110591.6</f>
        <v>1335054.1300000001</v>
      </c>
      <c r="E26" s="52">
        <f t="shared" si="0"/>
        <v>3086720.83</v>
      </c>
      <c r="G26" s="51">
        <v>50922</v>
      </c>
      <c r="H26" s="52">
        <f>125000+130000*11</f>
        <v>1555000</v>
      </c>
      <c r="I26" s="52">
        <f>83033.37+78033.33*11</f>
        <v>941400</v>
      </c>
      <c r="J26" s="52">
        <f t="shared" si="1"/>
        <v>2496400</v>
      </c>
      <c r="L26" s="51">
        <v>50922</v>
      </c>
      <c r="M26" s="52">
        <f>47083.33+49166.67*11</f>
        <v>587916.69999999995</v>
      </c>
      <c r="N26" s="52">
        <f>55500+53145.83*11</f>
        <v>640104.13</v>
      </c>
      <c r="O26" s="52">
        <f t="shared" si="2"/>
        <v>1228020.83</v>
      </c>
      <c r="P26" s="52">
        <v>2338387.5</v>
      </c>
      <c r="Q26" s="52">
        <f t="shared" si="3"/>
        <v>3566408.33</v>
      </c>
      <c r="S26" s="42">
        <f t="shared" si="4"/>
        <v>9149529.1600000001</v>
      </c>
    </row>
    <row r="27" spans="2:19" x14ac:dyDescent="0.25">
      <c r="B27" s="51">
        <v>51288</v>
      </c>
      <c r="C27" s="52">
        <f>146666.67+155000*11</f>
        <v>1851666.67</v>
      </c>
      <c r="D27" s="52">
        <f>110591.67+102158.33*10+102158.36</f>
        <v>1234333.33</v>
      </c>
      <c r="E27" s="52">
        <f t="shared" si="0"/>
        <v>3086000</v>
      </c>
      <c r="G27" s="51">
        <v>51288</v>
      </c>
      <c r="H27" s="52">
        <f>130000+135000*11</f>
        <v>1615000</v>
      </c>
      <c r="I27" s="52">
        <f>78033.37+72833.33*11</f>
        <v>879200</v>
      </c>
      <c r="J27" s="52">
        <f t="shared" si="1"/>
        <v>2494200</v>
      </c>
      <c r="L27" s="51">
        <v>51288</v>
      </c>
      <c r="M27" s="52">
        <f>49166.63+51666.67*11</f>
        <v>617500</v>
      </c>
      <c r="N27" s="52">
        <f>53145.83+50687.5*11</f>
        <v>610708.32999999996</v>
      </c>
      <c r="O27" s="52">
        <f t="shared" si="2"/>
        <v>1228208.33</v>
      </c>
      <c r="P27" s="52">
        <v>2334687.5</v>
      </c>
      <c r="Q27" s="52">
        <f t="shared" si="3"/>
        <v>3562895.83</v>
      </c>
      <c r="S27" s="42">
        <f t="shared" si="4"/>
        <v>9143095.8300000001</v>
      </c>
    </row>
    <row r="28" spans="2:19" x14ac:dyDescent="0.25">
      <c r="B28" s="51">
        <v>51653</v>
      </c>
      <c r="C28" s="52">
        <f>155000+164166.67*11</f>
        <v>1960833.37</v>
      </c>
      <c r="D28" s="52">
        <f>102158.33+93245.83*11</f>
        <v>1127862.46</v>
      </c>
      <c r="E28" s="52">
        <f t="shared" si="0"/>
        <v>3088695.83</v>
      </c>
      <c r="G28" s="51">
        <v>51653</v>
      </c>
      <c r="H28" s="52">
        <f>135000+140416.67*11</f>
        <v>1679583.37</v>
      </c>
      <c r="I28" s="52">
        <f>72833.33+67433.33*11</f>
        <v>814599.96</v>
      </c>
      <c r="J28" s="52">
        <f t="shared" si="1"/>
        <v>2494183.33</v>
      </c>
      <c r="L28" s="51">
        <v>51653</v>
      </c>
      <c r="M28" s="52">
        <f>51666.63+54166.67*11</f>
        <v>647500</v>
      </c>
      <c r="N28" s="52">
        <f>50687.46+48104.17*11</f>
        <v>579833.32999999996</v>
      </c>
      <c r="O28" s="52">
        <f t="shared" si="2"/>
        <v>1227333.33</v>
      </c>
      <c r="P28" s="52">
        <v>2332475</v>
      </c>
      <c r="Q28" s="52">
        <f t="shared" si="3"/>
        <v>3559808.33</v>
      </c>
      <c r="S28" s="42">
        <f t="shared" si="4"/>
        <v>9142687.4900000002</v>
      </c>
    </row>
    <row r="29" spans="2:19" x14ac:dyDescent="0.25">
      <c r="B29" s="51">
        <v>52018</v>
      </c>
      <c r="C29" s="52">
        <f>164166.67+174166.67*11</f>
        <v>2080000.04</v>
      </c>
      <c r="D29" s="52">
        <f>93245.83+83806.25*10+83806.21</f>
        <v>1015114.5399999999</v>
      </c>
      <c r="E29" s="52">
        <f t="shared" si="0"/>
        <v>3095114.58</v>
      </c>
      <c r="G29" s="51">
        <v>52018</v>
      </c>
      <c r="H29" s="52">
        <f>140416.63+146250*11</f>
        <v>1749166.63</v>
      </c>
      <c r="I29" s="52">
        <f>67433.33+61816.67*11</f>
        <v>747416.7</v>
      </c>
      <c r="J29" s="52">
        <f t="shared" si="1"/>
        <v>2496583.33</v>
      </c>
      <c r="L29" s="51">
        <v>52018</v>
      </c>
      <c r="M29" s="52">
        <f>54166.67+57083.33*11</f>
        <v>682083.3</v>
      </c>
      <c r="N29" s="52">
        <f>48104.17+45395.83*10+45395.9</f>
        <v>547458.37</v>
      </c>
      <c r="O29" s="52">
        <f t="shared" si="2"/>
        <v>1229541.67</v>
      </c>
      <c r="P29" s="52">
        <v>2331481.25</v>
      </c>
      <c r="Q29" s="52">
        <f t="shared" si="3"/>
        <v>3561022.92</v>
      </c>
      <c r="S29" s="42">
        <f t="shared" si="4"/>
        <v>9152720.8300000001</v>
      </c>
    </row>
    <row r="30" spans="2:19" x14ac:dyDescent="0.25">
      <c r="B30" s="51">
        <v>52383</v>
      </c>
      <c r="C30" s="52">
        <f>174166.67+184166.67*11</f>
        <v>2200000.04</v>
      </c>
      <c r="D30" s="52">
        <f>83806.25+73791.67*10+73791.59</f>
        <v>895514.53999999992</v>
      </c>
      <c r="E30" s="52">
        <f t="shared" si="0"/>
        <v>3095514.58</v>
      </c>
      <c r="G30" s="51">
        <v>52383</v>
      </c>
      <c r="H30" s="52">
        <f>146250+152083.33*11</f>
        <v>1819166.63</v>
      </c>
      <c r="I30" s="52">
        <f>61816.67+55966.67*11</f>
        <v>677450.04</v>
      </c>
      <c r="J30" s="52">
        <f t="shared" si="1"/>
        <v>2496616.67</v>
      </c>
      <c r="L30" s="51">
        <v>52383</v>
      </c>
      <c r="M30" s="52">
        <f>57083.3+60000*11</f>
        <v>717083.3</v>
      </c>
      <c r="N30" s="52">
        <f>45395.83+42541.67*11</f>
        <v>513354.2</v>
      </c>
      <c r="O30" s="52">
        <f t="shared" si="2"/>
        <v>1230437.5</v>
      </c>
      <c r="P30" s="52">
        <v>2328150</v>
      </c>
      <c r="Q30" s="52">
        <f t="shared" si="3"/>
        <v>3558587.5</v>
      </c>
      <c r="S30" s="42">
        <f t="shared" si="4"/>
        <v>9150718.75</v>
      </c>
    </row>
    <row r="31" spans="2:19" x14ac:dyDescent="0.25">
      <c r="B31" s="51">
        <v>52749</v>
      </c>
      <c r="C31" s="52">
        <f>184166.67+195416.67*11</f>
        <v>2333750.04</v>
      </c>
      <c r="D31" s="52">
        <f>73791.67+63202.08*10+63202.07</f>
        <v>769014.54</v>
      </c>
      <c r="E31" s="52">
        <f t="shared" si="0"/>
        <v>3102764.58</v>
      </c>
      <c r="G31" s="51">
        <v>52749</v>
      </c>
      <c r="H31" s="52">
        <f>152083.33+157916.67*11</f>
        <v>1889166.7000000002</v>
      </c>
      <c r="I31" s="52">
        <f>55966.67+49883.33*11</f>
        <v>604683.30000000005</v>
      </c>
      <c r="J31" s="52">
        <f t="shared" si="1"/>
        <v>2493850</v>
      </c>
      <c r="L31" s="51">
        <v>52749</v>
      </c>
      <c r="M31" s="52">
        <f>60000+62916.67*10+62916.63</f>
        <v>752083.33</v>
      </c>
      <c r="N31" s="52">
        <f>42541.63+39541.67*11</f>
        <v>477500</v>
      </c>
      <c r="O31" s="52">
        <f t="shared" si="2"/>
        <v>1229583.33</v>
      </c>
      <c r="P31" s="52">
        <v>2327375</v>
      </c>
      <c r="Q31" s="52">
        <f t="shared" si="3"/>
        <v>3556958.33</v>
      </c>
      <c r="S31" s="42">
        <f t="shared" si="4"/>
        <v>9153572.9100000001</v>
      </c>
    </row>
    <row r="32" spans="2:19" x14ac:dyDescent="0.25">
      <c r="B32" s="51">
        <v>53114</v>
      </c>
      <c r="C32" s="52">
        <f>195416.67+206666.67*11</f>
        <v>2468750.04</v>
      </c>
      <c r="D32" s="52">
        <f>63202.08+51965.63*10+51965.54</f>
        <v>634823.92000000004</v>
      </c>
      <c r="E32" s="52">
        <f t="shared" si="0"/>
        <v>3103573.96</v>
      </c>
      <c r="G32" s="51">
        <v>53114</v>
      </c>
      <c r="H32" s="52">
        <f>157916.6+164166.67*11</f>
        <v>1963749.9700000002</v>
      </c>
      <c r="I32" s="52">
        <f>49883.33+43566.67*11</f>
        <v>529116.69999999995</v>
      </c>
      <c r="J32" s="52">
        <f t="shared" si="1"/>
        <v>2492866.67</v>
      </c>
      <c r="L32" s="51">
        <v>53114</v>
      </c>
      <c r="M32" s="52">
        <f>62916.7+66250*11</f>
        <v>791666.7</v>
      </c>
      <c r="N32" s="52">
        <f>39541.67+36395.83*11</f>
        <v>439895.8</v>
      </c>
      <c r="O32" s="52">
        <f t="shared" si="2"/>
        <v>1231562.5</v>
      </c>
      <c r="P32" s="52">
        <v>2324050</v>
      </c>
      <c r="Q32" s="52">
        <f t="shared" si="3"/>
        <v>3555612.5</v>
      </c>
      <c r="S32" s="42">
        <f t="shared" si="4"/>
        <v>9152053.129999999</v>
      </c>
    </row>
    <row r="33" spans="2:19" x14ac:dyDescent="0.25">
      <c r="B33" s="51">
        <v>53479</v>
      </c>
      <c r="C33" s="52">
        <f>206666.67+219166.67*11</f>
        <v>2617500.04</v>
      </c>
      <c r="D33" s="52">
        <f>51965.63+40082.29*10+40082.26</f>
        <v>492870.79000000004</v>
      </c>
      <c r="E33" s="52">
        <f t="shared" si="0"/>
        <v>3110370.83</v>
      </c>
      <c r="G33" s="51">
        <v>53479</v>
      </c>
      <c r="H33" s="52">
        <f>164166.67+170833.33*11</f>
        <v>2043333.2999999998</v>
      </c>
      <c r="I33" s="52">
        <f>43566.7+37000*11</f>
        <v>450566.7</v>
      </c>
      <c r="J33" s="52">
        <f t="shared" si="1"/>
        <v>2493900</v>
      </c>
      <c r="L33" s="51">
        <v>53479</v>
      </c>
      <c r="M33" s="52">
        <f>66250+69166.67*11</f>
        <v>827083.37</v>
      </c>
      <c r="N33" s="52">
        <f>36395.83+33083.33*11</f>
        <v>400312.46</v>
      </c>
      <c r="O33" s="52">
        <f t="shared" si="2"/>
        <v>1227395.83</v>
      </c>
      <c r="P33" s="52">
        <v>2321087.5</v>
      </c>
      <c r="Q33" s="52">
        <f t="shared" si="3"/>
        <v>3548483.33</v>
      </c>
      <c r="S33" s="42">
        <f t="shared" si="4"/>
        <v>9152754.1600000001</v>
      </c>
    </row>
    <row r="34" spans="2:19" x14ac:dyDescent="0.25">
      <c r="B34" s="51">
        <v>53844</v>
      </c>
      <c r="C34" s="52">
        <f>219166.67+232083.33*11</f>
        <v>2772083.3</v>
      </c>
      <c r="D34" s="52">
        <f>40082.29+27480.21*10+27480.23</f>
        <v>342364.61999999994</v>
      </c>
      <c r="E34" s="52">
        <f t="shared" si="0"/>
        <v>3114447.92</v>
      </c>
      <c r="G34" s="51">
        <v>53844</v>
      </c>
      <c r="H34" s="52">
        <f>170833.3+177500*11</f>
        <v>2123333.2999999998</v>
      </c>
      <c r="I34" s="52">
        <f>37000+30166.67*11</f>
        <v>368833.37</v>
      </c>
      <c r="J34" s="52">
        <f t="shared" si="1"/>
        <v>2492166.67</v>
      </c>
      <c r="L34" s="51">
        <v>53844</v>
      </c>
      <c r="M34" s="52">
        <f>69166.63+72916.67*11</f>
        <v>871250</v>
      </c>
      <c r="N34" s="52">
        <f>33083.33+29625*11</f>
        <v>358958.33</v>
      </c>
      <c r="O34" s="52">
        <f t="shared" si="2"/>
        <v>1230208.33</v>
      </c>
      <c r="P34" s="52">
        <v>2318187.5</v>
      </c>
      <c r="Q34" s="52">
        <f t="shared" si="3"/>
        <v>3548395.83</v>
      </c>
      <c r="S34" s="42">
        <f t="shared" si="4"/>
        <v>9155010.4199999999</v>
      </c>
    </row>
    <row r="35" spans="2:19" x14ac:dyDescent="0.25">
      <c r="B35" s="51">
        <v>54210</v>
      </c>
      <c r="C35" s="52">
        <f>232083.33+245833.33*11</f>
        <v>2936249.96</v>
      </c>
      <c r="D35" s="52">
        <f>27480.21+14135.42*11</f>
        <v>182969.83</v>
      </c>
      <c r="E35" s="52">
        <f t="shared" si="0"/>
        <v>3119219.79</v>
      </c>
      <c r="G35" s="51">
        <v>54210</v>
      </c>
      <c r="H35" s="52">
        <f>177500+184583.33*11</f>
        <v>2207916.63</v>
      </c>
      <c r="I35" s="52">
        <f>30166.67+23066.67*11</f>
        <v>283900.03999999998</v>
      </c>
      <c r="J35" s="52">
        <f t="shared" si="1"/>
        <v>2491816.67</v>
      </c>
      <c r="L35" s="51">
        <v>54210</v>
      </c>
      <c r="M35" s="52">
        <f>72916.67+76250*11</f>
        <v>911666.67</v>
      </c>
      <c r="N35" s="52">
        <f>29625+25979.17*10+25979.13</f>
        <v>315395.82999999996</v>
      </c>
      <c r="O35" s="52">
        <f t="shared" si="2"/>
        <v>1227062.5</v>
      </c>
      <c r="P35" s="52">
        <v>2321912.5</v>
      </c>
      <c r="Q35" s="52">
        <f t="shared" si="3"/>
        <v>3548975</v>
      </c>
      <c r="S35" s="42">
        <f t="shared" si="4"/>
        <v>9160011.4600000009</v>
      </c>
    </row>
    <row r="36" spans="2:19" x14ac:dyDescent="0.25">
      <c r="B36" s="51">
        <v>54575</v>
      </c>
      <c r="C36" s="52">
        <f>245833.33</f>
        <v>245833.33</v>
      </c>
      <c r="D36" s="52">
        <v>14135.42</v>
      </c>
      <c r="E36" s="52">
        <f t="shared" si="0"/>
        <v>259968.75</v>
      </c>
      <c r="G36" s="51">
        <v>54575</v>
      </c>
      <c r="H36" s="52">
        <f>184583.4+192083.33*11</f>
        <v>2297500.0299999998</v>
      </c>
      <c r="I36" s="52">
        <f>23066.67+15683.33*11</f>
        <v>195583.3</v>
      </c>
      <c r="J36" s="52">
        <f t="shared" si="1"/>
        <v>2493083.3299999996</v>
      </c>
      <c r="L36" s="51">
        <v>54575</v>
      </c>
      <c r="M36" s="52">
        <f>76250+80416.67*10+80416.63</f>
        <v>960833.33</v>
      </c>
      <c r="N36" s="52">
        <f>25979.13+22166.67*11</f>
        <v>269812.5</v>
      </c>
      <c r="O36" s="52">
        <f t="shared" si="2"/>
        <v>1230645.83</v>
      </c>
      <c r="P36" s="52">
        <v>2317150</v>
      </c>
      <c r="Q36" s="52">
        <f t="shared" si="3"/>
        <v>3547795.83</v>
      </c>
      <c r="S36" s="42">
        <f t="shared" si="4"/>
        <v>6300847.9100000001</v>
      </c>
    </row>
    <row r="37" spans="2:19" x14ac:dyDescent="0.25">
      <c r="B37" s="51"/>
      <c r="C37" s="52"/>
      <c r="D37" s="52"/>
      <c r="E37" s="52"/>
      <c r="G37" s="51">
        <v>54940</v>
      </c>
      <c r="H37" s="52">
        <f>192083.33+200000*11</f>
        <v>2392083.33</v>
      </c>
      <c r="I37" s="52">
        <f>15683.34+8000*11</f>
        <v>103683.34</v>
      </c>
      <c r="J37" s="52">
        <f t="shared" si="1"/>
        <v>2495766.67</v>
      </c>
      <c r="L37" s="51">
        <v>54940</v>
      </c>
      <c r="M37" s="52">
        <f>80416.66+84166.67*11</f>
        <v>1006250.03</v>
      </c>
      <c r="N37" s="52">
        <f>22166.67+18145.83*11</f>
        <v>221770.8</v>
      </c>
      <c r="O37" s="52">
        <f t="shared" si="2"/>
        <v>1228020.83</v>
      </c>
      <c r="P37" s="52">
        <v>2318787.5</v>
      </c>
      <c r="Q37" s="52">
        <f t="shared" si="3"/>
        <v>3546808.33</v>
      </c>
      <c r="S37" s="42">
        <f t="shared" si="4"/>
        <v>6042575</v>
      </c>
    </row>
    <row r="38" spans="2:19" x14ac:dyDescent="0.25">
      <c r="B38" s="51"/>
      <c r="C38" s="52"/>
      <c r="D38" s="52"/>
      <c r="E38" s="52"/>
      <c r="G38" s="51">
        <v>55305</v>
      </c>
      <c r="H38" s="52">
        <v>200000</v>
      </c>
      <c r="I38" s="52">
        <v>8000</v>
      </c>
      <c r="J38" s="52">
        <f t="shared" si="1"/>
        <v>208000</v>
      </c>
      <c r="L38" s="51">
        <v>55305</v>
      </c>
      <c r="M38" s="52">
        <f>84166.67+88333.33*11</f>
        <v>1055833.3</v>
      </c>
      <c r="N38" s="52">
        <f>18145.87+13937.5*11</f>
        <v>171458.37</v>
      </c>
      <c r="O38" s="52">
        <f t="shared" si="2"/>
        <v>1227291.67</v>
      </c>
      <c r="P38" s="52">
        <v>2316600</v>
      </c>
      <c r="Q38" s="52">
        <f t="shared" si="3"/>
        <v>3543891.67</v>
      </c>
      <c r="S38" s="42">
        <f t="shared" si="4"/>
        <v>3751891.67</v>
      </c>
    </row>
    <row r="39" spans="2:19" x14ac:dyDescent="0.25">
      <c r="B39" s="51"/>
      <c r="C39" s="52"/>
      <c r="D39" s="52"/>
      <c r="E39" s="52"/>
      <c r="G39" s="51"/>
      <c r="H39" s="52"/>
      <c r="I39" s="52"/>
      <c r="J39" s="52"/>
      <c r="L39" s="51">
        <v>55671</v>
      </c>
      <c r="M39" s="52">
        <f>88333.33+92916.67*11</f>
        <v>1110416.7</v>
      </c>
      <c r="N39" s="52">
        <f>13937.5+9520.83*11</f>
        <v>118666.63</v>
      </c>
      <c r="O39" s="52">
        <f t="shared" si="2"/>
        <v>1229083.33</v>
      </c>
      <c r="P39" s="52">
        <v>2315475</v>
      </c>
      <c r="Q39" s="52">
        <f t="shared" si="3"/>
        <v>3544558.33</v>
      </c>
      <c r="S39" s="42">
        <f t="shared" si="4"/>
        <v>3544558.33</v>
      </c>
    </row>
    <row r="40" spans="2:19" x14ac:dyDescent="0.25">
      <c r="B40" s="51"/>
      <c r="C40" s="52"/>
      <c r="D40" s="52"/>
      <c r="E40" s="52"/>
      <c r="H40" s="52"/>
      <c r="I40" s="52"/>
      <c r="J40" s="52"/>
      <c r="L40" s="51">
        <v>56036</v>
      </c>
      <c r="M40" s="52">
        <f>92916.67+97500*11</f>
        <v>1165416.67</v>
      </c>
      <c r="N40" s="52">
        <f>9520.83+4875*11</f>
        <v>63145.83</v>
      </c>
      <c r="O40" s="52">
        <f t="shared" si="2"/>
        <v>1228562.5</v>
      </c>
      <c r="P40" s="52">
        <v>2310300</v>
      </c>
      <c r="Q40" s="52">
        <f t="shared" si="3"/>
        <v>3538862.5</v>
      </c>
    </row>
    <row r="41" spans="2:19" x14ac:dyDescent="0.25">
      <c r="B41" s="51"/>
      <c r="C41" s="52"/>
      <c r="D41" s="52"/>
      <c r="E41" s="52"/>
      <c r="J41" s="52"/>
      <c r="L41" s="51">
        <v>56401</v>
      </c>
      <c r="M41" s="52">
        <f>97500</f>
        <v>97500</v>
      </c>
      <c r="N41" s="52">
        <f>4875</f>
        <v>4875</v>
      </c>
      <c r="O41" s="52">
        <f t="shared" si="2"/>
        <v>102375</v>
      </c>
      <c r="P41" s="52">
        <v>2310850</v>
      </c>
      <c r="Q41" s="52">
        <f t="shared" si="3"/>
        <v>2413225</v>
      </c>
    </row>
    <row r="42" spans="2:19" x14ac:dyDescent="0.25">
      <c r="B42" s="51"/>
      <c r="C42" s="52"/>
      <c r="D42" s="52"/>
      <c r="E42" s="52"/>
      <c r="J42" s="52"/>
      <c r="Q42" s="52"/>
    </row>
    <row r="43" spans="2:19" x14ac:dyDescent="0.25">
      <c r="B43" s="51"/>
      <c r="C43" s="51"/>
      <c r="D43" s="51"/>
      <c r="J43" s="52"/>
      <c r="Q43" s="52"/>
    </row>
    <row r="44" spans="2:19" x14ac:dyDescent="0.25">
      <c r="B44" s="56" t="s">
        <v>56</v>
      </c>
      <c r="C44" s="57">
        <f>SUM(C5:C42)</f>
        <v>42300000.239999995</v>
      </c>
      <c r="D44" s="57">
        <f>SUM(D5:D42)</f>
        <v>47473022.729999997</v>
      </c>
      <c r="E44" s="57">
        <f>SUM(E5:E42)</f>
        <v>89773022.969999984</v>
      </c>
      <c r="G44" s="56" t="s">
        <v>56</v>
      </c>
      <c r="H44" s="57">
        <f>SUM(H5:H41)</f>
        <v>42365000</v>
      </c>
      <c r="I44" s="57">
        <f>SUM(I5:I41)</f>
        <v>31797319.329999998</v>
      </c>
      <c r="J44" s="57">
        <f>SUM(J5:J41)</f>
        <v>74162319.329999998</v>
      </c>
      <c r="L44" s="56" t="s">
        <v>56</v>
      </c>
      <c r="M44" s="57">
        <f>SUM(M6:M42)</f>
        <v>19084999.990000002</v>
      </c>
      <c r="N44" s="57">
        <f>SUM(N6:N42)</f>
        <v>19051339.099999994</v>
      </c>
      <c r="O44" s="57"/>
      <c r="P44" s="57"/>
      <c r="Q44" s="57">
        <f>SUM(Q6:Q42)</f>
        <v>104693551.65999998</v>
      </c>
    </row>
    <row r="45" spans="2:19" x14ac:dyDescent="0.25">
      <c r="B45" s="58"/>
      <c r="C45" s="58"/>
      <c r="D45" s="58"/>
      <c r="J45" s="52"/>
    </row>
    <row r="46" spans="2:19" ht="17.25" x14ac:dyDescent="0.4">
      <c r="B46" s="58"/>
      <c r="C46" s="58"/>
      <c r="D46" s="59" t="s">
        <v>57</v>
      </c>
      <c r="E46" s="60">
        <f>MAX(E5:E42)</f>
        <v>3119219.79</v>
      </c>
      <c r="I46" s="59" t="s">
        <v>57</v>
      </c>
      <c r="J46" s="60">
        <f>MAX(J5:J42)</f>
        <v>2496616.67</v>
      </c>
      <c r="Q46" s="60">
        <f>MAX(Q5:Q42)</f>
        <v>3580819.79</v>
      </c>
    </row>
    <row r="47" spans="2:19" x14ac:dyDescent="0.25">
      <c r="B47" s="58"/>
      <c r="C47" s="58"/>
      <c r="D47" s="58"/>
      <c r="J47" s="52"/>
    </row>
    <row r="48" spans="2:19" x14ac:dyDescent="0.25">
      <c r="C48" s="61">
        <f>E48/E51</f>
        <v>0.32813905186515402</v>
      </c>
      <c r="D48" t="s">
        <v>59</v>
      </c>
      <c r="E48" s="62">
        <v>12423092.25</v>
      </c>
      <c r="H48" s="61">
        <v>1</v>
      </c>
      <c r="I48" t="s">
        <v>60</v>
      </c>
      <c r="J48" s="62">
        <v>35849937</v>
      </c>
      <c r="Q48" s="62"/>
    </row>
    <row r="49" spans="1:17" x14ac:dyDescent="0.25">
      <c r="C49" s="61">
        <f>E49/E51</f>
        <v>0.31407726581503759</v>
      </c>
      <c r="D49" t="s">
        <v>62</v>
      </c>
      <c r="E49" s="62">
        <v>11890723.84</v>
      </c>
      <c r="J49" s="63">
        <f>SUM(J47:J48)</f>
        <v>35849937</v>
      </c>
      <c r="Q49" s="63"/>
    </row>
    <row r="50" spans="1:17" x14ac:dyDescent="0.25">
      <c r="C50" s="61">
        <f>E50/E51</f>
        <v>0.35778368231980845</v>
      </c>
      <c r="D50" t="s">
        <v>63</v>
      </c>
      <c r="E50" s="62">
        <v>13545415.17</v>
      </c>
      <c r="J50" s="63"/>
    </row>
    <row r="51" spans="1:17" x14ac:dyDescent="0.25">
      <c r="C51"/>
      <c r="D51"/>
      <c r="E51" s="64">
        <f>SUM(E48:E50)</f>
        <v>37859231.259999998</v>
      </c>
    </row>
    <row r="52" spans="1:17" x14ac:dyDescent="0.25">
      <c r="B52" s="65"/>
      <c r="C52" s="65"/>
      <c r="D52" s="65" t="s">
        <v>53</v>
      </c>
      <c r="E52" s="66" t="s">
        <v>54</v>
      </c>
      <c r="F52" s="65"/>
      <c r="G52" s="65"/>
      <c r="H52" s="65"/>
      <c r="I52" s="65"/>
      <c r="J52" s="66"/>
    </row>
    <row r="53" spans="1:17" x14ac:dyDescent="0.25">
      <c r="A53" s="67">
        <v>926</v>
      </c>
      <c r="B53" t="s">
        <v>59</v>
      </c>
      <c r="C53" s="68">
        <f>(A53/$A$56)-0.015</f>
        <v>0.27943561208267087</v>
      </c>
      <c r="D53" s="66">
        <f>$C$13*C53</f>
        <v>236472.37554753572</v>
      </c>
      <c r="E53" s="66">
        <f>$D$13*C53</f>
        <v>617868.24419022247</v>
      </c>
      <c r="F53" s="66">
        <f>E53+D53</f>
        <v>854340.61973775818</v>
      </c>
      <c r="G53" s="65"/>
      <c r="H53" s="65"/>
      <c r="I53" s="65"/>
      <c r="J53" s="66"/>
    </row>
    <row r="54" spans="1:17" x14ac:dyDescent="0.25">
      <c r="A54" s="67">
        <v>1020</v>
      </c>
      <c r="B54" t="s">
        <v>62</v>
      </c>
      <c r="C54" s="68">
        <f>(A54/$A$56)+0.0075</f>
        <v>0.33182432432432435</v>
      </c>
      <c r="D54" s="66">
        <f>$C$13*C54</f>
        <v>280806.32118648652</v>
      </c>
      <c r="E54" s="66">
        <f>$D$13*C54</f>
        <v>733706.45610202709</v>
      </c>
      <c r="F54" s="66">
        <f t="shared" ref="F54:F56" si="5">E54+D54</f>
        <v>1014512.7772885136</v>
      </c>
    </row>
    <row r="55" spans="1:17" x14ac:dyDescent="0.25">
      <c r="A55" s="17">
        <v>1199</v>
      </c>
      <c r="B55" t="s">
        <v>63</v>
      </c>
      <c r="C55" s="68">
        <f>(A55/$A$56)+0.0075</f>
        <v>0.38874006359300478</v>
      </c>
      <c r="D55" s="66">
        <f>$C$13*C55</f>
        <v>328971.26326597773</v>
      </c>
      <c r="E55" s="66">
        <f>$D$13*C55</f>
        <v>859554.5097077504</v>
      </c>
      <c r="F55" s="66">
        <f t="shared" si="5"/>
        <v>1188525.7729737281</v>
      </c>
    </row>
    <row r="56" spans="1:17" x14ac:dyDescent="0.25">
      <c r="A56" s="17">
        <f>SUM(A53:A55)</f>
        <v>3145</v>
      </c>
      <c r="C56" s="69">
        <f>SUM(C53:C55)</f>
        <v>1</v>
      </c>
      <c r="D56" s="52">
        <f>SUM(D53:D55)</f>
        <v>846249.96</v>
      </c>
      <c r="E56" s="52">
        <f>SUM(E53:E55)</f>
        <v>2211129.21</v>
      </c>
      <c r="F56" s="66">
        <f t="shared" si="5"/>
        <v>3057379.17</v>
      </c>
    </row>
    <row r="57" spans="1:17" x14ac:dyDescent="0.25">
      <c r="E57" s="70">
        <f>E56+D56</f>
        <v>3057379.17</v>
      </c>
    </row>
    <row r="59" spans="1:17" x14ac:dyDescent="0.25">
      <c r="B59" s="65"/>
      <c r="C59" s="65"/>
      <c r="D59" s="65"/>
      <c r="E59" s="66"/>
    </row>
    <row r="60" spans="1:17" x14ac:dyDescent="0.25">
      <c r="B60" s="65"/>
      <c r="C60" s="65"/>
      <c r="D60" s="65"/>
      <c r="E60" s="66"/>
    </row>
  </sheetData>
  <mergeCells count="7">
    <mergeCell ref="M3:N3"/>
    <mergeCell ref="B1:E1"/>
    <mergeCell ref="G1:J1"/>
    <mergeCell ref="L1:Q1"/>
    <mergeCell ref="B2:E2"/>
    <mergeCell ref="G2:J2"/>
    <mergeCell ref="L2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993B-30F2-4B30-A2C6-5892CBB87026}">
  <dimension ref="A6:G30"/>
  <sheetViews>
    <sheetView topLeftCell="A5" workbookViewId="0">
      <selection activeCell="E29" sqref="E29"/>
    </sheetView>
  </sheetViews>
  <sheetFormatPr defaultRowHeight="15" x14ac:dyDescent="0.25"/>
  <cols>
    <col min="3" max="3" width="12.140625" bestFit="1" customWidth="1"/>
    <col min="4" max="4" width="12.7109375" bestFit="1" customWidth="1"/>
    <col min="5" max="5" width="14.85546875" bestFit="1" customWidth="1"/>
    <col min="7" max="7" width="12.7109375" bestFit="1" customWidth="1"/>
  </cols>
  <sheetData>
    <row r="6" spans="1:7" x14ac:dyDescent="0.25">
      <c r="C6" t="s">
        <v>64</v>
      </c>
      <c r="D6" t="s">
        <v>65</v>
      </c>
      <c r="E6" t="s">
        <v>66</v>
      </c>
    </row>
    <row r="7" spans="1:7" x14ac:dyDescent="0.25">
      <c r="A7" t="s">
        <v>51</v>
      </c>
      <c r="B7" s="54">
        <v>46174</v>
      </c>
      <c r="C7" s="55">
        <f>31666.67+33333.33*11</f>
        <v>398333.3</v>
      </c>
      <c r="D7" s="55">
        <f>78992.19+77290.11*10+77290.09</f>
        <v>929183.38</v>
      </c>
      <c r="E7" s="42">
        <f>SUM(C7:D7)</f>
        <v>1327516.68</v>
      </c>
    </row>
    <row r="8" spans="1:7" x14ac:dyDescent="0.25">
      <c r="A8" t="s">
        <v>67</v>
      </c>
      <c r="B8" t="s">
        <v>68</v>
      </c>
      <c r="C8" s="71">
        <v>0</v>
      </c>
      <c r="D8" s="71">
        <f>150769.83+(131740.63*11)</f>
        <v>1599916.7600000002</v>
      </c>
      <c r="E8" s="72">
        <v>1725035</v>
      </c>
      <c r="G8" s="72"/>
    </row>
    <row r="9" spans="1:7" x14ac:dyDescent="0.25">
      <c r="E9" s="42">
        <f>SUM(E7:E8)</f>
        <v>3052551.6799999997</v>
      </c>
    </row>
    <row r="12" spans="1:7" x14ac:dyDescent="0.25">
      <c r="A12" t="s">
        <v>51</v>
      </c>
      <c r="C12" s="42">
        <f>'Bond Pymt'!M14</f>
        <v>422916.7</v>
      </c>
      <c r="D12" s="42">
        <f>'Bond Pymt'!N13</f>
        <v>929183.38</v>
      </c>
      <c r="E12" s="42">
        <v>1330690</v>
      </c>
    </row>
    <row r="13" spans="1:7" x14ac:dyDescent="0.25">
      <c r="A13" t="s">
        <v>67</v>
      </c>
      <c r="C13" s="71"/>
      <c r="D13" s="71"/>
      <c r="E13" s="72">
        <v>2024900</v>
      </c>
    </row>
    <row r="14" spans="1:7" x14ac:dyDescent="0.25">
      <c r="E14" s="42">
        <f>SUM(E12:E13)</f>
        <v>3355590</v>
      </c>
    </row>
    <row r="17" spans="3:5" x14ac:dyDescent="0.25">
      <c r="C17" s="42">
        <f>'Bond Pymt'!M15</f>
        <v>447916.67</v>
      </c>
      <c r="D17" s="42">
        <f>'Bond Pymt'!N15</f>
        <v>885041.1399999999</v>
      </c>
      <c r="E17" s="42">
        <f>SUM(C17:D17)</f>
        <v>1332957.8099999998</v>
      </c>
    </row>
    <row r="18" spans="3:5" x14ac:dyDescent="0.25">
      <c r="E18" s="71">
        <v>2232590</v>
      </c>
    </row>
    <row r="19" spans="3:5" x14ac:dyDescent="0.25">
      <c r="E19" s="42">
        <f>SUM(E17:E18)</f>
        <v>3565547.8099999996</v>
      </c>
    </row>
    <row r="22" spans="3:5" x14ac:dyDescent="0.25">
      <c r="C22" s="42">
        <f>'Bond Pymt'!M16</f>
        <v>376666.63</v>
      </c>
      <c r="D22" s="42">
        <f>'Bond Pymt'!N16</f>
        <v>860965.66</v>
      </c>
      <c r="E22" s="71">
        <f>SUM(C22:D22)</f>
        <v>1237632.29</v>
      </c>
    </row>
    <row r="23" spans="3:5" x14ac:dyDescent="0.25">
      <c r="E23" s="71">
        <v>2345190</v>
      </c>
    </row>
    <row r="24" spans="3:5" x14ac:dyDescent="0.25">
      <c r="E24" s="72">
        <f>SUM(E22:E23)</f>
        <v>3582822.29</v>
      </c>
    </row>
    <row r="28" spans="3:5" x14ac:dyDescent="0.25">
      <c r="C28" s="42">
        <f>'Bond Pymt'!M17</f>
        <v>383749.96</v>
      </c>
      <c r="D28" s="42">
        <f>'Bond Pymt'!N17</f>
        <v>845383.37000000011</v>
      </c>
      <c r="E28" s="42">
        <f>SUM(C28:D28)</f>
        <v>1229133.33</v>
      </c>
    </row>
    <row r="29" spans="3:5" x14ac:dyDescent="0.25">
      <c r="E29" s="71">
        <v>2345300</v>
      </c>
    </row>
    <row r="30" spans="3:5" x14ac:dyDescent="0.25">
      <c r="E30" s="42">
        <f>SUM(E28:E29)</f>
        <v>3574433.33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C974-193A-4D63-A638-7F51B7A40A29}">
  <dimension ref="A1"/>
  <sheetViews>
    <sheetView topLeftCell="A17" workbookViewId="0">
      <selection activeCell="O48" sqref="O4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4B99-C4D1-49CD-A112-A42E52D00BAA}">
  <sheetPr>
    <pageSetUpPr fitToPage="1"/>
  </sheetPr>
  <dimension ref="B1:L157"/>
  <sheetViews>
    <sheetView workbookViewId="0">
      <selection activeCell="L15" sqref="L15"/>
    </sheetView>
  </sheetViews>
  <sheetFormatPr defaultColWidth="8.85546875" defaultRowHeight="15" x14ac:dyDescent="0.25"/>
  <cols>
    <col min="2" max="2" width="26.85546875" customWidth="1"/>
    <col min="3" max="4" width="12.42578125" bestFit="1" customWidth="1"/>
    <col min="5" max="5" width="16.7109375" bestFit="1" customWidth="1"/>
    <col min="6" max="6" width="19.5703125" customWidth="1"/>
    <col min="7" max="7" width="14" customWidth="1"/>
    <col min="11" max="11" width="36.5703125" bestFit="1" customWidth="1"/>
    <col min="12" max="12" width="18" bestFit="1" customWidth="1"/>
  </cols>
  <sheetData>
    <row r="1" spans="2:12" ht="20.25" x14ac:dyDescent="0.3">
      <c r="B1" s="73" t="s">
        <v>69</v>
      </c>
      <c r="C1" s="74"/>
      <c r="D1" s="73"/>
      <c r="E1" s="73"/>
      <c r="F1" s="73"/>
      <c r="G1" s="73"/>
    </row>
    <row r="2" spans="2:12" ht="20.25" x14ac:dyDescent="0.3">
      <c r="B2" s="74"/>
      <c r="C2" s="75"/>
      <c r="D2" s="75"/>
      <c r="E2" s="76"/>
      <c r="F2" s="76"/>
      <c r="G2" s="76"/>
    </row>
    <row r="3" spans="2:12" ht="18.75" x14ac:dyDescent="0.3">
      <c r="B3" s="50"/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K3" s="124" t="s">
        <v>113</v>
      </c>
      <c r="L3" s="125"/>
    </row>
    <row r="4" spans="2:12" ht="18.75" x14ac:dyDescent="0.3">
      <c r="B4" s="78" t="s">
        <v>75</v>
      </c>
      <c r="C4" s="79">
        <f t="shared" ref="C4:D4" si="0">SUM(C6:C18)</f>
        <v>681</v>
      </c>
      <c r="D4" s="79">
        <f t="shared" si="0"/>
        <v>799</v>
      </c>
      <c r="E4" s="79">
        <f>E20</f>
        <v>892</v>
      </c>
      <c r="F4" s="79">
        <f>F20</f>
        <v>895</v>
      </c>
      <c r="G4" s="79"/>
      <c r="K4" s="125" t="s">
        <v>114</v>
      </c>
      <c r="L4" s="126">
        <f>'[1]Project Budget (Bond Issue)'!O45</f>
        <v>0</v>
      </c>
    </row>
    <row r="5" spans="2:12" ht="18.75" x14ac:dyDescent="0.3">
      <c r="B5" s="78" t="s">
        <v>76</v>
      </c>
      <c r="C5" s="79"/>
      <c r="D5" s="79"/>
      <c r="E5" s="79"/>
      <c r="F5" s="79"/>
      <c r="G5" s="79"/>
      <c r="K5" s="125" t="s">
        <v>115</v>
      </c>
      <c r="L5" s="127">
        <v>1000000</v>
      </c>
    </row>
    <row r="6" spans="2:12" ht="18.75" x14ac:dyDescent="0.3">
      <c r="B6" s="80" t="s">
        <v>77</v>
      </c>
      <c r="C6" s="81">
        <v>100</v>
      </c>
      <c r="D6" s="81">
        <v>100</v>
      </c>
      <c r="E6" s="81">
        <v>100</v>
      </c>
      <c r="F6" s="81">
        <v>100</v>
      </c>
      <c r="G6" s="81">
        <v>4</v>
      </c>
      <c r="K6" s="125" t="s">
        <v>116</v>
      </c>
      <c r="L6" s="127">
        <f>L4*0.03</f>
        <v>0</v>
      </c>
    </row>
    <row r="7" spans="2:12" ht="18.75" x14ac:dyDescent="0.3">
      <c r="B7" s="82" t="s">
        <v>78</v>
      </c>
      <c r="C7" s="81">
        <v>104</v>
      </c>
      <c r="D7" s="81">
        <v>104</v>
      </c>
      <c r="E7" s="81">
        <v>104</v>
      </c>
      <c r="F7" s="81">
        <v>104</v>
      </c>
      <c r="G7" s="81">
        <v>4</v>
      </c>
      <c r="K7" s="128" t="s">
        <v>117</v>
      </c>
      <c r="L7" s="129">
        <v>1840000</v>
      </c>
    </row>
    <row r="8" spans="2:12" ht="18.75" x14ac:dyDescent="0.3">
      <c r="B8" s="82" t="s">
        <v>79</v>
      </c>
      <c r="C8" s="81">
        <v>104</v>
      </c>
      <c r="D8" s="81">
        <v>104</v>
      </c>
      <c r="E8" s="81">
        <v>104</v>
      </c>
      <c r="F8" s="81">
        <v>104</v>
      </c>
      <c r="G8" s="81">
        <v>4</v>
      </c>
      <c r="K8" s="130" t="s">
        <v>118</v>
      </c>
      <c r="L8" s="131">
        <f>SUM(L4:L7)</f>
        <v>2840000</v>
      </c>
    </row>
    <row r="9" spans="2:12" ht="18.75" x14ac:dyDescent="0.3">
      <c r="B9" s="83" t="s">
        <v>80</v>
      </c>
      <c r="C9" s="81">
        <v>104</v>
      </c>
      <c r="D9" s="81">
        <v>104</v>
      </c>
      <c r="E9" s="81">
        <v>104</v>
      </c>
      <c r="F9" s="81">
        <v>104</v>
      </c>
      <c r="G9" s="81">
        <v>4</v>
      </c>
      <c r="K9" s="125"/>
      <c r="L9" s="125"/>
    </row>
    <row r="10" spans="2:12" ht="18.75" x14ac:dyDescent="0.3">
      <c r="B10" s="83" t="s">
        <v>81</v>
      </c>
      <c r="C10" s="81">
        <v>104</v>
      </c>
      <c r="D10" s="81">
        <v>104</v>
      </c>
      <c r="E10" s="81">
        <v>104</v>
      </c>
      <c r="F10" s="81">
        <v>104</v>
      </c>
      <c r="G10" s="81">
        <v>4</v>
      </c>
      <c r="K10" s="125"/>
      <c r="L10" s="125"/>
    </row>
    <row r="11" spans="2:12" ht="18.75" x14ac:dyDescent="0.3">
      <c r="B11" s="83" t="s">
        <v>82</v>
      </c>
      <c r="C11" s="81">
        <v>75</v>
      </c>
      <c r="D11" s="81">
        <v>100</v>
      </c>
      <c r="E11" s="81">
        <v>100</v>
      </c>
      <c r="F11" s="81">
        <v>100</v>
      </c>
      <c r="G11" s="81">
        <v>4</v>
      </c>
      <c r="K11" s="124" t="s">
        <v>119</v>
      </c>
      <c r="L11" s="125"/>
    </row>
    <row r="12" spans="2:12" ht="18.75" x14ac:dyDescent="0.3">
      <c r="B12" s="83" t="s">
        <v>83</v>
      </c>
      <c r="C12" s="81">
        <v>90</v>
      </c>
      <c r="D12" s="81">
        <v>93</v>
      </c>
      <c r="E12" s="81">
        <v>93</v>
      </c>
      <c r="F12" s="81">
        <v>93</v>
      </c>
      <c r="G12" s="81">
        <v>3</v>
      </c>
      <c r="K12" s="125" t="s">
        <v>120</v>
      </c>
      <c r="L12" s="126">
        <f>L8</f>
        <v>2840000</v>
      </c>
    </row>
    <row r="13" spans="2:12" ht="18.75" x14ac:dyDescent="0.3">
      <c r="B13" s="83" t="s">
        <v>84</v>
      </c>
      <c r="C13" s="81">
        <v>0</v>
      </c>
      <c r="D13" s="81">
        <v>90</v>
      </c>
      <c r="E13" s="81">
        <v>93</v>
      </c>
      <c r="F13" s="81">
        <v>93</v>
      </c>
      <c r="G13" s="81">
        <v>3</v>
      </c>
      <c r="K13" s="125" t="s">
        <v>121</v>
      </c>
      <c r="L13" s="132">
        <v>0.06</v>
      </c>
    </row>
    <row r="14" spans="2:12" ht="18.75" x14ac:dyDescent="0.3">
      <c r="B14" s="83" t="s">
        <v>85</v>
      </c>
      <c r="C14" s="81">
        <v>0</v>
      </c>
      <c r="D14" s="81">
        <v>0</v>
      </c>
      <c r="E14" s="81">
        <v>90</v>
      </c>
      <c r="F14" s="81">
        <v>93</v>
      </c>
      <c r="G14" s="81">
        <v>3</v>
      </c>
      <c r="K14" s="128" t="s">
        <v>122</v>
      </c>
      <c r="L14" s="128">
        <v>35</v>
      </c>
    </row>
    <row r="15" spans="2:12" ht="18.75" x14ac:dyDescent="0.3">
      <c r="B15" s="83" t="s">
        <v>86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K15" s="130" t="s">
        <v>123</v>
      </c>
      <c r="L15" s="133">
        <v>1860000</v>
      </c>
    </row>
    <row r="16" spans="2:12" x14ac:dyDescent="0.25">
      <c r="B16" s="83" t="s">
        <v>87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</row>
    <row r="17" spans="2:7" x14ac:dyDescent="0.25">
      <c r="B17" s="83" t="s">
        <v>88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</row>
    <row r="18" spans="2:7" x14ac:dyDescent="0.25">
      <c r="B18" s="83" t="s">
        <v>89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</row>
    <row r="19" spans="2:7" x14ac:dyDescent="0.25">
      <c r="B19" s="83" t="s">
        <v>90</v>
      </c>
      <c r="C19" s="84"/>
      <c r="D19" s="85"/>
      <c r="E19" s="85"/>
      <c r="F19" s="85"/>
      <c r="G19" s="85">
        <v>5</v>
      </c>
    </row>
    <row r="20" spans="2:7" x14ac:dyDescent="0.25">
      <c r="B20" s="83" t="s">
        <v>75</v>
      </c>
      <c r="C20" s="86">
        <f>SUM(C5:C18)</f>
        <v>681</v>
      </c>
      <c r="D20" s="87">
        <f>SUM(D5:D18)</f>
        <v>799</v>
      </c>
      <c r="E20" s="87">
        <f t="shared" ref="E20:F20" si="1">SUM(E5:E18)</f>
        <v>892</v>
      </c>
      <c r="F20" s="87">
        <f t="shared" si="1"/>
        <v>895</v>
      </c>
      <c r="G20" s="87">
        <f>SUM(G6:G19)</f>
        <v>38</v>
      </c>
    </row>
    <row r="22" spans="2:7" hidden="1" x14ac:dyDescent="0.25">
      <c r="B22" s="43" t="s">
        <v>91</v>
      </c>
      <c r="C22" s="88">
        <f>'[1]Project Budget (Bond Issue)'!$E$2/'[1]Enrollment Projections'!C20</f>
        <v>71.953010279001475</v>
      </c>
      <c r="D22" s="88">
        <f>'[1]Project Budget (Bond Issue)'!$E$2/'[1]Enrollment Projections'!D20</f>
        <v>61.326658322903633</v>
      </c>
      <c r="E22" s="88">
        <f>'[1]Project Budget (Bond Issue)'!$E$2/'[1]Enrollment Projections'!E20</f>
        <v>54.932735426008968</v>
      </c>
      <c r="F22" s="88">
        <f>'[1]Project Budget (Bond Issue)'!$E$2/'[1]Enrollment Projections'!F20</f>
        <v>54.74860335195531</v>
      </c>
      <c r="G22" s="88"/>
    </row>
    <row r="24" spans="2:7" s="91" customFormat="1" ht="20.25" hidden="1" x14ac:dyDescent="0.3">
      <c r="B24" s="89" t="s">
        <v>92</v>
      </c>
      <c r="C24" s="90"/>
      <c r="D24" s="90"/>
      <c r="E24" s="90"/>
      <c r="F24" s="90"/>
      <c r="G24" s="90"/>
    </row>
    <row r="25" spans="2:7" s="91" customFormat="1" ht="21" hidden="1" x14ac:dyDescent="0.35">
      <c r="B25" s="92"/>
      <c r="C25" s="348" t="s">
        <v>93</v>
      </c>
      <c r="D25" s="349"/>
      <c r="E25" s="349"/>
      <c r="F25" s="349"/>
      <c r="G25" s="350"/>
    </row>
    <row r="26" spans="2:7" s="91" customFormat="1" ht="18.75" hidden="1" x14ac:dyDescent="0.3">
      <c r="B26" s="93"/>
      <c r="C26" s="94" t="s">
        <v>94</v>
      </c>
      <c r="D26" s="95" t="s">
        <v>94</v>
      </c>
      <c r="E26" s="95"/>
      <c r="F26" s="95"/>
      <c r="G26" s="96"/>
    </row>
    <row r="27" spans="2:7" s="91" customFormat="1" ht="56.25" hidden="1" x14ac:dyDescent="0.3">
      <c r="B27" s="97" t="s">
        <v>95</v>
      </c>
      <c r="C27" s="98">
        <f>C20</f>
        <v>681</v>
      </c>
      <c r="D27" s="99">
        <f>D20</f>
        <v>799</v>
      </c>
      <c r="E27" s="99"/>
      <c r="F27" s="99"/>
      <c r="G27" s="100"/>
    </row>
    <row r="28" spans="2:7" s="91" customFormat="1" ht="21" hidden="1" x14ac:dyDescent="0.35">
      <c r="B28" s="93"/>
      <c r="C28" s="101"/>
      <c r="D28" s="102"/>
      <c r="E28" s="102"/>
      <c r="F28" s="102"/>
      <c r="G28" s="103"/>
    </row>
    <row r="29" spans="2:7" s="91" customFormat="1" ht="21" hidden="1" x14ac:dyDescent="0.35">
      <c r="B29" s="93"/>
      <c r="C29" s="104" t="s">
        <v>96</v>
      </c>
      <c r="D29" s="105" t="s">
        <v>96</v>
      </c>
      <c r="E29" s="105"/>
      <c r="F29" s="105"/>
      <c r="G29" s="103"/>
    </row>
    <row r="30" spans="2:7" s="91" customFormat="1" ht="56.25" hidden="1" x14ac:dyDescent="0.3">
      <c r="B30" s="97" t="s">
        <v>97</v>
      </c>
      <c r="C30" s="106" t="s">
        <v>98</v>
      </c>
      <c r="D30" s="107" t="s">
        <v>98</v>
      </c>
      <c r="E30" s="107"/>
      <c r="F30" s="107"/>
      <c r="G30" s="108"/>
    </row>
    <row r="31" spans="2:7" hidden="1" x14ac:dyDescent="0.25"/>
    <row r="35" spans="2:6" x14ac:dyDescent="0.25">
      <c r="C35" s="351"/>
      <c r="D35" s="351"/>
      <c r="E35" s="351"/>
      <c r="F35" s="351"/>
    </row>
    <row r="36" spans="2:6" ht="18.75" x14ac:dyDescent="0.3">
      <c r="B36" s="109" t="s">
        <v>99</v>
      </c>
      <c r="C36" s="110" t="s">
        <v>100</v>
      </c>
      <c r="D36" s="110" t="s">
        <v>101</v>
      </c>
      <c r="E36" s="110" t="s">
        <v>102</v>
      </c>
      <c r="F36" s="110" t="s">
        <v>103</v>
      </c>
    </row>
    <row r="37" spans="2:6" x14ac:dyDescent="0.25">
      <c r="C37" s="111" t="s">
        <v>4</v>
      </c>
      <c r="D37" s="111" t="s">
        <v>5</v>
      </c>
      <c r="E37" s="111" t="s">
        <v>104</v>
      </c>
      <c r="F37" s="111" t="s">
        <v>105</v>
      </c>
    </row>
    <row r="38" spans="2:6" x14ac:dyDescent="0.25">
      <c r="B38" s="43" t="s">
        <v>106</v>
      </c>
      <c r="C38" s="112">
        <v>681</v>
      </c>
      <c r="D38" s="112">
        <v>799</v>
      </c>
      <c r="E38" s="112">
        <v>892</v>
      </c>
      <c r="F38" s="112">
        <v>895</v>
      </c>
    </row>
    <row r="39" spans="2:6" x14ac:dyDescent="0.25">
      <c r="B39" t="s">
        <v>107</v>
      </c>
      <c r="C39" s="113">
        <v>9550</v>
      </c>
      <c r="D39" s="113">
        <v>10500</v>
      </c>
      <c r="E39" s="113">
        <f>D39*1.02</f>
        <v>10710</v>
      </c>
      <c r="F39" s="113">
        <f>E39*1.02</f>
        <v>10924.2</v>
      </c>
    </row>
    <row r="40" spans="2:6" x14ac:dyDescent="0.25">
      <c r="C40" s="114"/>
      <c r="D40" s="114"/>
      <c r="E40" s="114"/>
      <c r="F40" s="114"/>
    </row>
    <row r="41" spans="2:6" x14ac:dyDescent="0.25">
      <c r="B41" t="s">
        <v>108</v>
      </c>
      <c r="C41" s="113">
        <f t="shared" ref="C41:F41" si="2">((C39*C38))</f>
        <v>6503550</v>
      </c>
      <c r="D41" s="113">
        <f t="shared" si="2"/>
        <v>8389500</v>
      </c>
      <c r="E41" s="113">
        <f t="shared" si="2"/>
        <v>9553320</v>
      </c>
      <c r="F41" s="113">
        <f t="shared" si="2"/>
        <v>9777159</v>
      </c>
    </row>
    <row r="42" spans="2:6" x14ac:dyDescent="0.25">
      <c r="C42" s="115"/>
      <c r="D42" s="115"/>
      <c r="E42" s="115"/>
      <c r="F42" s="115"/>
    </row>
    <row r="43" spans="2:6" ht="15.75" x14ac:dyDescent="0.25">
      <c r="B43" s="116" t="s">
        <v>109</v>
      </c>
      <c r="C43" s="117">
        <v>1250000</v>
      </c>
      <c r="D43" s="117">
        <v>1500000</v>
      </c>
      <c r="E43" s="117">
        <v>1750000</v>
      </c>
      <c r="F43" s="117">
        <v>1860000</v>
      </c>
    </row>
    <row r="44" spans="2:6" ht="15.75" x14ac:dyDescent="0.25">
      <c r="B44" s="118" t="s">
        <v>110</v>
      </c>
      <c r="C44" s="119">
        <f>C43</f>
        <v>1250000</v>
      </c>
      <c r="D44" s="119">
        <f>SUM(D43:D43)</f>
        <v>1500000</v>
      </c>
      <c r="E44" s="119">
        <f>SUM(E43:E43)</f>
        <v>1750000</v>
      </c>
      <c r="F44" s="119">
        <f>SUM(F43:F43)</f>
        <v>1860000</v>
      </c>
    </row>
    <row r="45" spans="2:6" x14ac:dyDescent="0.25">
      <c r="C45" s="120"/>
      <c r="D45" s="120"/>
      <c r="E45" s="120"/>
      <c r="F45" s="120"/>
    </row>
    <row r="46" spans="2:6" ht="15.75" x14ac:dyDescent="0.25">
      <c r="B46" s="121" t="s">
        <v>111</v>
      </c>
      <c r="C46" s="122">
        <f>C43/C41</f>
        <v>0.19220272005289418</v>
      </c>
      <c r="D46" s="122">
        <f>D43/D41</f>
        <v>0.17879492222420884</v>
      </c>
      <c r="E46" s="122">
        <f t="shared" ref="E46:F46" si="3">E43/E41</f>
        <v>0.18318239104311382</v>
      </c>
      <c r="F46" s="122">
        <f t="shared" si="3"/>
        <v>0.19023931184917828</v>
      </c>
    </row>
    <row r="47" spans="2:6" ht="15.75" x14ac:dyDescent="0.25">
      <c r="B47" s="116" t="s">
        <v>112</v>
      </c>
      <c r="C47" s="123" t="e">
        <f>'[1]Project Budget (Bond Issue)'!$E$43/'[1]Short Form School Budget'!C38</f>
        <v>#DIV/0!</v>
      </c>
      <c r="D47" s="123" t="e">
        <f>'[1]Project Budget (Bond Issue)'!$E$43/'[1]Short Form School Budget'!D38</f>
        <v>#DIV/0!</v>
      </c>
      <c r="E47" s="123" t="e">
        <f>'[1]Project Budget (Bond Issue)'!$E$43/'[1]Short Form School Budget'!E38</f>
        <v>#DIV/0!</v>
      </c>
      <c r="F47" s="123" t="e">
        <f>'[1]Project Budget (Bond Issue)'!$E$43/'[1]Short Form School Budget'!F38</f>
        <v>#DIV/0!</v>
      </c>
    </row>
    <row r="54" spans="2:6" ht="18.75" x14ac:dyDescent="0.3">
      <c r="B54" s="130" t="s">
        <v>124</v>
      </c>
      <c r="C54" s="125"/>
      <c r="D54" s="125"/>
      <c r="E54" s="134">
        <v>49000</v>
      </c>
      <c r="F54" s="134"/>
    </row>
    <row r="55" spans="2:6" ht="18.75" x14ac:dyDescent="0.3">
      <c r="B55" s="130" t="s">
        <v>125</v>
      </c>
      <c r="C55" s="125"/>
      <c r="D55" s="125"/>
      <c r="E55" s="135">
        <v>6.09</v>
      </c>
      <c r="F55" s="134"/>
    </row>
    <row r="56" spans="2:6" ht="18.75" x14ac:dyDescent="0.3">
      <c r="B56" s="125"/>
      <c r="C56" s="125"/>
      <c r="D56" s="125"/>
      <c r="E56" s="125"/>
      <c r="F56" s="125"/>
    </row>
    <row r="57" spans="2:6" ht="18.75" x14ac:dyDescent="0.3">
      <c r="B57" s="136" t="s">
        <v>126</v>
      </c>
      <c r="C57" s="128"/>
      <c r="D57" s="128"/>
      <c r="E57" s="128"/>
      <c r="F57" s="128" t="s">
        <v>127</v>
      </c>
    </row>
    <row r="58" spans="2:6" ht="18.75" x14ac:dyDescent="0.3">
      <c r="B58" s="137" t="s">
        <v>128</v>
      </c>
      <c r="C58" s="138"/>
      <c r="D58" s="139">
        <f>E58/E54</f>
        <v>144.24579591836735</v>
      </c>
      <c r="E58" s="140">
        <v>7068044</v>
      </c>
      <c r="F58" s="141"/>
    </row>
    <row r="59" spans="2:6" ht="18.75" x14ac:dyDescent="0.3">
      <c r="B59" s="142" t="s">
        <v>129</v>
      </c>
      <c r="C59" s="125"/>
      <c r="D59" s="143">
        <f>E59/E54</f>
        <v>20.068979591836733</v>
      </c>
      <c r="E59" s="144">
        <v>983380</v>
      </c>
      <c r="F59" s="145"/>
    </row>
    <row r="60" spans="2:6" ht="18.75" x14ac:dyDescent="0.3">
      <c r="B60" s="142" t="s">
        <v>130</v>
      </c>
      <c r="C60" s="125"/>
      <c r="D60" s="143">
        <f>E60/E54</f>
        <v>12.66</v>
      </c>
      <c r="E60" s="144">
        <v>620340</v>
      </c>
      <c r="F60" s="145"/>
    </row>
    <row r="61" spans="2:6" ht="18.75" x14ac:dyDescent="0.3">
      <c r="B61" s="142" t="s">
        <v>131</v>
      </c>
      <c r="C61" s="125"/>
      <c r="D61" s="143">
        <f>E61/E54</f>
        <v>28.692183673469387</v>
      </c>
      <c r="E61" s="144">
        <v>1405917</v>
      </c>
      <c r="F61" s="145"/>
    </row>
    <row r="62" spans="2:6" ht="18.75" x14ac:dyDescent="0.3">
      <c r="B62" s="142" t="s">
        <v>132</v>
      </c>
      <c r="C62" s="125"/>
      <c r="D62" s="143">
        <f>E62/E54</f>
        <v>1.9387755102040816</v>
      </c>
      <c r="E62" s="144">
        <v>95000</v>
      </c>
      <c r="F62" s="145"/>
    </row>
    <row r="63" spans="2:6" ht="37.5" x14ac:dyDescent="0.3">
      <c r="B63" s="142" t="s">
        <v>133</v>
      </c>
      <c r="C63" s="125"/>
      <c r="D63" s="143">
        <v>0</v>
      </c>
      <c r="E63" s="144">
        <v>1000000</v>
      </c>
      <c r="F63" s="145" t="s">
        <v>134</v>
      </c>
    </row>
    <row r="64" spans="2:6" ht="18.75" x14ac:dyDescent="0.3">
      <c r="B64" s="142" t="s">
        <v>135</v>
      </c>
      <c r="C64" s="125"/>
      <c r="D64" s="146">
        <v>0.2</v>
      </c>
      <c r="E64" s="144">
        <f>SUM(E58:E63)*D64</f>
        <v>2234536.2000000002</v>
      </c>
      <c r="F64" s="147"/>
    </row>
    <row r="65" spans="2:6" ht="18.75" x14ac:dyDescent="0.3">
      <c r="B65" s="148" t="s">
        <v>136</v>
      </c>
      <c r="C65" s="149"/>
      <c r="D65" s="150" t="e">
        <f>E65/$E$2</f>
        <v>#DIV/0!</v>
      </c>
      <c r="E65" s="151">
        <f>SUM(E58:E64)</f>
        <v>13407217.199999999</v>
      </c>
      <c r="F65" s="152"/>
    </row>
    <row r="66" spans="2:6" ht="18.75" x14ac:dyDescent="0.3">
      <c r="B66" s="142"/>
      <c r="C66" s="125"/>
      <c r="D66" s="143"/>
      <c r="E66" s="144"/>
      <c r="F66" s="145"/>
    </row>
    <row r="67" spans="2:6" ht="18.75" x14ac:dyDescent="0.3">
      <c r="B67" s="153" t="s">
        <v>137</v>
      </c>
      <c r="C67" s="128"/>
      <c r="D67" s="154"/>
      <c r="E67" s="128"/>
      <c r="F67" s="155"/>
    </row>
    <row r="68" spans="2:6" ht="18.75" x14ac:dyDescent="0.3">
      <c r="B68" s="142" t="s">
        <v>138</v>
      </c>
      <c r="C68" s="125"/>
      <c r="D68" s="156" t="e">
        <f t="shared" ref="D68:D85" si="4">E68/$E$2</f>
        <v>#DIV/0!</v>
      </c>
      <c r="E68" s="126">
        <f>650000*1.1</f>
        <v>715000</v>
      </c>
      <c r="F68" s="157"/>
    </row>
    <row r="69" spans="2:6" ht="18.75" x14ac:dyDescent="0.3">
      <c r="B69" s="142" t="s">
        <v>139</v>
      </c>
      <c r="C69" s="125"/>
      <c r="D69" s="156" t="e">
        <f t="shared" si="4"/>
        <v>#DIV/0!</v>
      </c>
      <c r="E69" s="126">
        <v>896755</v>
      </c>
      <c r="F69" s="157"/>
    </row>
    <row r="70" spans="2:6" ht="18.75" x14ac:dyDescent="0.3">
      <c r="B70" s="142" t="s">
        <v>140</v>
      </c>
      <c r="C70" s="125"/>
      <c r="D70" s="156" t="e">
        <f t="shared" si="4"/>
        <v>#DIV/0!</v>
      </c>
      <c r="E70" s="126">
        <v>0</v>
      </c>
      <c r="F70" s="157" t="s">
        <v>141</v>
      </c>
    </row>
    <row r="71" spans="2:6" ht="18.75" x14ac:dyDescent="0.3">
      <c r="B71" s="142" t="s">
        <v>142</v>
      </c>
      <c r="C71" s="125"/>
      <c r="D71" s="156" t="e">
        <f t="shared" si="4"/>
        <v>#DIV/0!</v>
      </c>
      <c r="E71" s="126">
        <v>0</v>
      </c>
      <c r="F71" s="157" t="s">
        <v>141</v>
      </c>
    </row>
    <row r="72" spans="2:6" ht="18.75" x14ac:dyDescent="0.3">
      <c r="B72" s="142" t="s">
        <v>143</v>
      </c>
      <c r="C72" s="125"/>
      <c r="D72" s="156" t="e">
        <f t="shared" si="4"/>
        <v>#DIV/0!</v>
      </c>
      <c r="E72" s="126">
        <v>0</v>
      </c>
      <c r="F72" s="157" t="s">
        <v>141</v>
      </c>
    </row>
    <row r="73" spans="2:6" ht="18.75" x14ac:dyDescent="0.3">
      <c r="B73" s="142" t="s">
        <v>144</v>
      </c>
      <c r="C73" s="125" t="s">
        <v>145</v>
      </c>
      <c r="D73" s="156" t="e">
        <f t="shared" si="4"/>
        <v>#DIV/0!</v>
      </c>
      <c r="E73" s="126">
        <v>60000</v>
      </c>
      <c r="F73" s="157"/>
    </row>
    <row r="74" spans="2:6" ht="18.75" x14ac:dyDescent="0.3">
      <c r="B74" s="142" t="s">
        <v>146</v>
      </c>
      <c r="C74" s="125"/>
      <c r="D74" s="156" t="e">
        <f t="shared" si="4"/>
        <v>#DIV/0!</v>
      </c>
      <c r="E74" s="126">
        <v>30000</v>
      </c>
      <c r="F74" s="157"/>
    </row>
    <row r="75" spans="2:6" ht="18.75" x14ac:dyDescent="0.3">
      <c r="B75" s="142" t="s">
        <v>147</v>
      </c>
      <c r="C75" s="125"/>
      <c r="D75" s="156" t="e">
        <f t="shared" si="4"/>
        <v>#DIV/0!</v>
      </c>
      <c r="E75" s="126">
        <v>30000</v>
      </c>
      <c r="F75" s="157"/>
    </row>
    <row r="76" spans="2:6" ht="18.75" x14ac:dyDescent="0.3">
      <c r="B76" s="142" t="s">
        <v>148</v>
      </c>
      <c r="C76" s="125"/>
      <c r="D76" s="156" t="e">
        <f t="shared" si="4"/>
        <v>#DIV/0!</v>
      </c>
      <c r="E76" s="126">
        <v>60000</v>
      </c>
      <c r="F76" s="157"/>
    </row>
    <row r="77" spans="2:6" ht="18.75" x14ac:dyDescent="0.3">
      <c r="B77" s="142" t="s">
        <v>149</v>
      </c>
      <c r="C77" s="125"/>
      <c r="D77" s="156" t="e">
        <f t="shared" si="4"/>
        <v>#DIV/0!</v>
      </c>
      <c r="E77" s="126">
        <v>60000</v>
      </c>
      <c r="F77" s="157"/>
    </row>
    <row r="78" spans="2:6" ht="56.25" x14ac:dyDescent="0.3">
      <c r="B78" s="142" t="s">
        <v>150</v>
      </c>
      <c r="C78" s="125"/>
      <c r="D78" s="156" t="e">
        <f t="shared" si="4"/>
        <v>#DIV/0!</v>
      </c>
      <c r="E78" s="126">
        <v>0</v>
      </c>
      <c r="F78" s="157" t="s">
        <v>151</v>
      </c>
    </row>
    <row r="79" spans="2:6" ht="56.25" x14ac:dyDescent="0.3">
      <c r="B79" s="142" t="s">
        <v>152</v>
      </c>
      <c r="C79" s="125"/>
      <c r="D79" s="156" t="e">
        <f t="shared" si="4"/>
        <v>#DIV/0!</v>
      </c>
      <c r="E79" s="126">
        <v>100000</v>
      </c>
      <c r="F79" s="157" t="s">
        <v>151</v>
      </c>
    </row>
    <row r="80" spans="2:6" ht="56.25" x14ac:dyDescent="0.3">
      <c r="B80" s="142" t="s">
        <v>153</v>
      </c>
      <c r="C80" s="125"/>
      <c r="D80" s="156" t="e">
        <f t="shared" si="4"/>
        <v>#DIV/0!</v>
      </c>
      <c r="E80" s="126">
        <v>100000</v>
      </c>
      <c r="F80" s="145" t="s">
        <v>154</v>
      </c>
    </row>
    <row r="81" spans="2:6" ht="18.75" x14ac:dyDescent="0.3">
      <c r="B81" s="142" t="s">
        <v>155</v>
      </c>
      <c r="C81" s="125"/>
      <c r="D81" s="156" t="e">
        <f t="shared" si="4"/>
        <v>#DIV/0!</v>
      </c>
      <c r="E81" s="126">
        <v>15000</v>
      </c>
      <c r="F81" s="157"/>
    </row>
    <row r="82" spans="2:6" ht="18.75" x14ac:dyDescent="0.3">
      <c r="B82" s="142" t="s">
        <v>156</v>
      </c>
      <c r="C82" s="125"/>
      <c r="D82" s="156" t="e">
        <f t="shared" si="4"/>
        <v>#DIV/0!</v>
      </c>
      <c r="E82" s="126">
        <f>(E93/500)*1.95</f>
        <v>24375</v>
      </c>
      <c r="F82" s="157"/>
    </row>
    <row r="83" spans="2:6" ht="18.75" x14ac:dyDescent="0.3">
      <c r="B83" s="142" t="s">
        <v>157</v>
      </c>
      <c r="C83" s="125"/>
      <c r="D83" s="143" t="e">
        <f t="shared" si="4"/>
        <v>#DIV/0!</v>
      </c>
      <c r="E83" s="126">
        <v>25000</v>
      </c>
      <c r="F83" s="157"/>
    </row>
    <row r="84" spans="2:6" ht="37.5" x14ac:dyDescent="0.3">
      <c r="B84" s="158" t="s">
        <v>158</v>
      </c>
      <c r="C84" s="159">
        <v>0</v>
      </c>
      <c r="D84" s="143">
        <v>0</v>
      </c>
      <c r="E84" s="126">
        <f>(E65*C84)*0.7</f>
        <v>0</v>
      </c>
      <c r="F84" s="160" t="s">
        <v>159</v>
      </c>
    </row>
    <row r="85" spans="2:6" ht="37.5" x14ac:dyDescent="0.3">
      <c r="B85" s="158" t="s">
        <v>160</v>
      </c>
      <c r="C85" s="161">
        <v>0</v>
      </c>
      <c r="D85" s="143" t="e">
        <f t="shared" si="4"/>
        <v>#DIV/0!</v>
      </c>
      <c r="E85" s="162">
        <f>(E65*0.7)*C85</f>
        <v>0</v>
      </c>
      <c r="F85" s="160" t="s">
        <v>159</v>
      </c>
    </row>
    <row r="86" spans="2:6" ht="18.75" x14ac:dyDescent="0.3">
      <c r="B86" s="163" t="s">
        <v>161</v>
      </c>
      <c r="C86" s="128"/>
      <c r="D86" s="164">
        <f>E86/E54</f>
        <v>1.0204081632653061</v>
      </c>
      <c r="E86" s="154">
        <v>50000</v>
      </c>
      <c r="F86" s="165"/>
    </row>
    <row r="87" spans="2:6" ht="18.75" x14ac:dyDescent="0.3">
      <c r="B87" s="148" t="s">
        <v>162</v>
      </c>
      <c r="C87" s="149"/>
      <c r="D87" s="166">
        <f>E87/E54</f>
        <v>44.20673469387755</v>
      </c>
      <c r="E87" s="167">
        <f>SUM(E68:E86)</f>
        <v>2166130</v>
      </c>
      <c r="F87" s="167"/>
    </row>
    <row r="88" spans="2:6" ht="18.75" x14ac:dyDescent="0.3">
      <c r="B88" s="142"/>
      <c r="C88" s="125"/>
      <c r="D88" s="125"/>
      <c r="E88" s="168"/>
      <c r="F88" s="168"/>
    </row>
    <row r="89" spans="2:6" ht="18.75" x14ac:dyDescent="0.3">
      <c r="B89" s="142" t="s">
        <v>163</v>
      </c>
      <c r="C89" s="125"/>
      <c r="D89" s="143" t="e">
        <f>E89/$E$2</f>
        <v>#DIV/0!</v>
      </c>
      <c r="E89" s="169">
        <f>E87+E65</f>
        <v>15573347.199999999</v>
      </c>
      <c r="F89" s="170" t="s">
        <v>164</v>
      </c>
    </row>
    <row r="90" spans="2:6" ht="18.75" x14ac:dyDescent="0.3">
      <c r="B90" s="142"/>
      <c r="C90" s="125"/>
      <c r="D90" s="125"/>
      <c r="E90" s="169"/>
      <c r="F90" s="169"/>
    </row>
    <row r="91" spans="2:6" ht="18.75" x14ac:dyDescent="0.3">
      <c r="B91" s="171" t="s">
        <v>165</v>
      </c>
      <c r="C91" s="125"/>
      <c r="D91" s="143" t="e">
        <f>E91/$E$2</f>
        <v>#DIV/0!</v>
      </c>
      <c r="E91" s="168">
        <f>(E89-E69)*0.1</f>
        <v>1467659.22</v>
      </c>
      <c r="F91" s="168"/>
    </row>
    <row r="92" spans="2:6" ht="18.75" x14ac:dyDescent="0.3">
      <c r="B92" s="171"/>
      <c r="C92" s="125"/>
      <c r="D92" s="143"/>
      <c r="E92" s="168"/>
      <c r="F92" s="168"/>
    </row>
    <row r="93" spans="2:6" ht="18.75" x14ac:dyDescent="0.3">
      <c r="B93" s="142" t="s">
        <v>166</v>
      </c>
      <c r="C93" s="125"/>
      <c r="D93" s="172">
        <f>E93/E54</f>
        <v>127.55102040816327</v>
      </c>
      <c r="E93" s="168">
        <v>6250000</v>
      </c>
      <c r="F93" s="168"/>
    </row>
    <row r="94" spans="2:6" ht="18.75" x14ac:dyDescent="0.3">
      <c r="B94" s="163"/>
      <c r="C94" s="128"/>
      <c r="D94" s="128"/>
      <c r="E94" s="173"/>
      <c r="F94" s="173"/>
    </row>
    <row r="95" spans="2:6" ht="18.75" x14ac:dyDescent="0.3">
      <c r="B95" s="163" t="s">
        <v>167</v>
      </c>
      <c r="C95" s="128"/>
      <c r="D95" s="174" t="e">
        <f>E95/$E$2</f>
        <v>#DIV/0!</v>
      </c>
      <c r="E95" s="173">
        <f>E89+E91+E93</f>
        <v>23291006.419999998</v>
      </c>
      <c r="F95" s="173"/>
    </row>
    <row r="96" spans="2:6" ht="15.75" x14ac:dyDescent="0.25">
      <c r="B96" s="116"/>
      <c r="C96" s="116"/>
      <c r="D96" s="116"/>
      <c r="E96" s="116"/>
    </row>
    <row r="97" spans="2:5" ht="15.75" x14ac:dyDescent="0.25">
      <c r="B97" s="175"/>
      <c r="C97" s="116"/>
      <c r="D97" s="116"/>
      <c r="E97" s="176"/>
    </row>
    <row r="98" spans="2:5" ht="15.75" x14ac:dyDescent="0.25">
      <c r="B98" s="116"/>
      <c r="C98" s="177"/>
      <c r="D98" s="116"/>
      <c r="E98" s="116"/>
    </row>
    <row r="99" spans="2:5" ht="15.75" x14ac:dyDescent="0.25">
      <c r="B99" s="116" t="s">
        <v>113</v>
      </c>
      <c r="C99" s="22"/>
    </row>
    <row r="100" spans="2:5" ht="15.75" x14ac:dyDescent="0.25">
      <c r="B100" s="116" t="s">
        <v>114</v>
      </c>
      <c r="C100" s="22">
        <v>20618709</v>
      </c>
    </row>
    <row r="101" spans="2:5" ht="15.75" x14ac:dyDescent="0.25">
      <c r="B101" s="116" t="s">
        <v>168</v>
      </c>
      <c r="C101" s="22">
        <v>1000000</v>
      </c>
    </row>
    <row r="102" spans="2:5" x14ac:dyDescent="0.25">
      <c r="B102" t="s">
        <v>169</v>
      </c>
      <c r="C102" s="178">
        <f>C100*0.035</f>
        <v>721654.81500000006</v>
      </c>
      <c r="D102" s="9"/>
      <c r="E102" s="9"/>
    </row>
    <row r="103" spans="2:5" x14ac:dyDescent="0.25">
      <c r="B103" s="9" t="s">
        <v>117</v>
      </c>
      <c r="C103" s="179">
        <f>C100*0.025</f>
        <v>515467.72500000003</v>
      </c>
      <c r="D103" s="9"/>
      <c r="E103" s="9"/>
    </row>
    <row r="104" spans="2:5" ht="15.75" x14ac:dyDescent="0.25">
      <c r="B104" s="116" t="s">
        <v>170</v>
      </c>
      <c r="C104" s="23">
        <f>SUM(C100:C103)</f>
        <v>22855831.540000003</v>
      </c>
    </row>
    <row r="106" spans="2:5" x14ac:dyDescent="0.25">
      <c r="B106" t="s">
        <v>171</v>
      </c>
    </row>
    <row r="157" spans="4:5" x14ac:dyDescent="0.25">
      <c r="D157" s="180"/>
      <c r="E157" s="42"/>
    </row>
  </sheetData>
  <mergeCells count="2">
    <mergeCell ref="C25:G25"/>
    <mergeCell ref="C35:F35"/>
  </mergeCells>
  <pageMargins left="0.7" right="0.7" top="0.75" bottom="0.75" header="0.3" footer="0.3"/>
  <pageSetup scale="3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99C1-3695-4BCA-8E22-463E8ED112B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C284-BE4F-4CCE-B5C6-2B820C86EFFB}">
  <dimension ref="A1:BW246"/>
  <sheetViews>
    <sheetView view="pageBreakPreview" zoomScale="60" zoomScaleNormal="100" workbookViewId="0">
      <pane xSplit="1" topLeftCell="B1" activePane="topRight" state="frozen"/>
      <selection pane="topRight" activeCell="D30" sqref="D30"/>
    </sheetView>
  </sheetViews>
  <sheetFormatPr defaultRowHeight="15.75" x14ac:dyDescent="0.25"/>
  <cols>
    <col min="1" max="1" width="55.5703125" style="187" bestFit="1" customWidth="1"/>
    <col min="2" max="8" width="20.85546875" style="116" customWidth="1"/>
    <col min="10" max="16" width="20.85546875" style="116" customWidth="1"/>
    <col min="18" max="24" width="20.85546875" style="116" customWidth="1"/>
    <col min="25" max="25" width="9.140625" customWidth="1"/>
    <col min="26" max="32" width="20.85546875" style="116" customWidth="1"/>
    <col min="34" max="40" width="20.85546875" style="116" customWidth="1"/>
    <col min="42" max="48" width="20.85546875" style="116" customWidth="1"/>
    <col min="50" max="56" width="20.85546875" style="116" customWidth="1"/>
    <col min="58" max="64" width="20.85546875" style="116" customWidth="1"/>
    <col min="66" max="72" width="20.85546875" style="116" customWidth="1"/>
    <col min="74" max="74" width="20.85546875" style="116" customWidth="1"/>
    <col min="75" max="75" width="12.5703125" bestFit="1" customWidth="1"/>
  </cols>
  <sheetData>
    <row r="1" spans="1:75" x14ac:dyDescent="0.25">
      <c r="A1" s="181" t="s">
        <v>308</v>
      </c>
      <c r="B1" s="181" t="s">
        <v>319</v>
      </c>
      <c r="J1" s="181" t="s">
        <v>60</v>
      </c>
      <c r="R1" s="181" t="s">
        <v>62</v>
      </c>
      <c r="Z1" s="181" t="s">
        <v>63</v>
      </c>
      <c r="AH1" s="181" t="s">
        <v>316</v>
      </c>
      <c r="AP1" s="181" t="s">
        <v>317</v>
      </c>
      <c r="AX1" s="181" t="s">
        <v>318</v>
      </c>
      <c r="BF1" s="181" t="s">
        <v>322</v>
      </c>
      <c r="BN1" s="181" t="s">
        <v>326</v>
      </c>
      <c r="BV1" s="181" t="s">
        <v>319</v>
      </c>
    </row>
    <row r="2" spans="1:75" x14ac:dyDescent="0.25">
      <c r="A2" s="182" t="s">
        <v>172</v>
      </c>
      <c r="B2" s="220">
        <f>9414+2</f>
        <v>9416</v>
      </c>
      <c r="J2" s="220">
        <f>9414+2</f>
        <v>9416</v>
      </c>
      <c r="R2" s="220">
        <f>9414+2</f>
        <v>9416</v>
      </c>
      <c r="Z2" s="220">
        <f>9414+2</f>
        <v>9416</v>
      </c>
      <c r="AH2" s="220">
        <f>9414+2</f>
        <v>9416</v>
      </c>
      <c r="AP2" s="220">
        <f>9414+2</f>
        <v>9416</v>
      </c>
      <c r="AX2" s="220">
        <f>9414+2</f>
        <v>9416</v>
      </c>
      <c r="BF2" s="220">
        <f>9414+2</f>
        <v>9416</v>
      </c>
      <c r="BN2" s="220">
        <f>9414+2</f>
        <v>9416</v>
      </c>
      <c r="BV2" s="220">
        <v>9416</v>
      </c>
    </row>
    <row r="3" spans="1:75" x14ac:dyDescent="0.25">
      <c r="A3" s="183" t="s">
        <v>75</v>
      </c>
      <c r="B3" s="221">
        <f>B4+B5+B6+B7+B8+B9+B10+B11+B12+B13+B14+B15+B16</f>
        <v>910</v>
      </c>
      <c r="C3" s="222"/>
      <c r="F3" s="181"/>
      <c r="G3" s="181"/>
      <c r="H3" s="181"/>
      <c r="J3" s="221">
        <f>J4+J5+J6+J7+J8+J9+J10+J11+J12+J13+J14+J15+J16</f>
        <v>2486</v>
      </c>
      <c r="K3" s="222"/>
      <c r="N3" s="181"/>
      <c r="O3" s="181"/>
      <c r="P3" s="181"/>
      <c r="R3" s="221">
        <f>R4+R5+R6+R7+R8+R9+R10+R11+R12+R13+R14+R15+R16</f>
        <v>1030</v>
      </c>
      <c r="S3" s="273"/>
      <c r="V3" s="181"/>
      <c r="W3" s="181"/>
      <c r="X3" s="181"/>
      <c r="Z3" s="221">
        <f>Z4+Z5+Z6+Z7+Z8+Z9+Z10+Z11+Z12+Z13+Z14+Z15+Z16</f>
        <v>1184</v>
      </c>
      <c r="AA3" s="273"/>
      <c r="AD3" s="181"/>
      <c r="AE3" s="181"/>
      <c r="AF3" s="181"/>
      <c r="AH3" s="221">
        <f>AH4+AH5+AH6+AH7+AH8+AH9+AH10+AH11+AH12+AH13+AH14+AH15+AH16</f>
        <v>2416</v>
      </c>
      <c r="AI3" s="273"/>
      <c r="AL3" s="181"/>
      <c r="AM3" s="181"/>
      <c r="AN3" s="181"/>
      <c r="AP3" s="221">
        <f>AP4+AP5+AP6+AP7+AP8+AP9+AP10+AP11+AP12+AP13+AP14+AP15+AP16</f>
        <v>370</v>
      </c>
      <c r="AQ3" s="273"/>
      <c r="AT3" s="181"/>
      <c r="AU3" s="181"/>
      <c r="AV3" s="181"/>
      <c r="AX3" s="221">
        <f>AX4+AX5+AX6+AX7+AX8+AX9+AX10+AX11+AX12+AX13+AX14+AX15+AX16</f>
        <v>140</v>
      </c>
      <c r="AY3" s="273"/>
      <c r="BB3" s="181"/>
      <c r="BC3" s="181"/>
      <c r="BD3" s="181"/>
      <c r="BF3" s="221">
        <f>BF4+BF5+BF6+BF7+BF8+BF9+BF10+BF11+BF12+BF13+BF14+BF15+BF16</f>
        <v>0</v>
      </c>
      <c r="BG3" s="222"/>
      <c r="BJ3" s="181"/>
      <c r="BK3" s="181"/>
      <c r="BL3" s="181"/>
      <c r="BN3" s="221">
        <f>BN4+BN5+BN6+BN7+BN8+BN9+BN10+BN11+BN12+BN13+BN14+BN15+BN16</f>
        <v>8536</v>
      </c>
      <c r="BO3" s="222"/>
      <c r="BR3" s="181"/>
      <c r="BS3" s="181"/>
      <c r="BT3" s="181"/>
      <c r="BV3" s="221">
        <v>8547</v>
      </c>
    </row>
    <row r="4" spans="1:75" x14ac:dyDescent="0.25">
      <c r="A4" s="184" t="s">
        <v>77</v>
      </c>
      <c r="B4" s="223">
        <v>150</v>
      </c>
      <c r="C4" s="222"/>
      <c r="D4" s="187"/>
      <c r="E4" s="224"/>
      <c r="F4" s="225"/>
      <c r="G4" s="225"/>
      <c r="H4" s="225"/>
      <c r="J4" s="223">
        <f>125+5</f>
        <v>130</v>
      </c>
      <c r="K4" s="273">
        <v>5</v>
      </c>
      <c r="L4" s="187"/>
      <c r="M4" s="224"/>
      <c r="N4" s="225"/>
      <c r="O4" s="225"/>
      <c r="P4" s="225"/>
      <c r="R4" s="223">
        <f>100</f>
        <v>100</v>
      </c>
      <c r="S4" s="273">
        <v>4</v>
      </c>
      <c r="T4" s="187"/>
      <c r="U4" s="224"/>
      <c r="V4" s="225"/>
      <c r="W4" s="225"/>
      <c r="X4" s="225"/>
      <c r="Z4" s="223">
        <v>125</v>
      </c>
      <c r="AA4" s="273">
        <v>4</v>
      </c>
      <c r="AB4" s="187"/>
      <c r="AC4" s="224"/>
      <c r="AD4" s="225"/>
      <c r="AE4" s="225"/>
      <c r="AF4" s="225"/>
      <c r="AH4" s="227">
        <v>125</v>
      </c>
      <c r="AI4" s="273">
        <v>5</v>
      </c>
      <c r="AJ4" s="277"/>
      <c r="AK4" s="276"/>
      <c r="AL4" s="225"/>
      <c r="AM4" s="225"/>
      <c r="AN4" s="225"/>
      <c r="AP4" s="223">
        <f>25*3-1</f>
        <v>74</v>
      </c>
      <c r="AQ4" s="273">
        <v>3</v>
      </c>
      <c r="AR4" s="187"/>
      <c r="AS4" s="224"/>
      <c r="AT4" s="225"/>
      <c r="AU4" s="225"/>
      <c r="AV4" s="225"/>
      <c r="AX4" s="223">
        <v>0</v>
      </c>
      <c r="AY4" s="273"/>
      <c r="AZ4" s="187"/>
      <c r="BA4" s="224"/>
      <c r="BB4" s="225"/>
      <c r="BC4" s="225"/>
      <c r="BD4" s="225"/>
      <c r="BF4" s="223"/>
      <c r="BG4" s="222"/>
      <c r="BH4" s="187"/>
      <c r="BI4" s="283"/>
      <c r="BJ4" s="225"/>
      <c r="BK4" s="225"/>
      <c r="BL4" s="225"/>
      <c r="BN4" s="223">
        <f>B4+J4+R4+Z4+AH4+AP4+AX4+BF4</f>
        <v>704</v>
      </c>
      <c r="BO4" s="222"/>
      <c r="BP4" s="187"/>
      <c r="BQ4" s="283"/>
      <c r="BR4" s="225"/>
      <c r="BS4" s="225"/>
      <c r="BT4" s="225"/>
      <c r="BV4" s="223">
        <v>704</v>
      </c>
      <c r="BW4" s="286">
        <f>BN4-BV4</f>
        <v>0</v>
      </c>
    </row>
    <row r="5" spans="1:75" x14ac:dyDescent="0.25">
      <c r="A5" s="183" t="s">
        <v>78</v>
      </c>
      <c r="B5" s="223">
        <v>154</v>
      </c>
      <c r="C5" s="222"/>
      <c r="D5" s="187"/>
      <c r="E5" s="224"/>
      <c r="F5" s="225"/>
      <c r="G5" s="225"/>
      <c r="H5" s="225"/>
      <c r="J5" s="223">
        <f>130+5</f>
        <v>135</v>
      </c>
      <c r="K5" s="273">
        <v>5</v>
      </c>
      <c r="L5" s="187"/>
      <c r="M5" s="224"/>
      <c r="N5" s="225"/>
      <c r="O5" s="225"/>
      <c r="P5" s="225"/>
      <c r="R5" s="223">
        <v>104</v>
      </c>
      <c r="S5" s="273">
        <v>4</v>
      </c>
      <c r="T5" s="187"/>
      <c r="U5" s="224"/>
      <c r="V5" s="225"/>
      <c r="W5" s="225"/>
      <c r="X5" s="225"/>
      <c r="Z5" s="223">
        <v>129</v>
      </c>
      <c r="AA5" s="273">
        <v>4</v>
      </c>
      <c r="AB5" s="187"/>
      <c r="AC5" s="224"/>
      <c r="AD5" s="225"/>
      <c r="AE5" s="225"/>
      <c r="AF5" s="225"/>
      <c r="AH5" s="227">
        <v>125</v>
      </c>
      <c r="AI5" s="273">
        <v>5</v>
      </c>
      <c r="AJ5" s="278"/>
      <c r="AK5" s="276"/>
      <c r="AL5" s="225"/>
      <c r="AM5" s="225"/>
      <c r="AN5" s="225"/>
      <c r="AP5" s="223">
        <v>75</v>
      </c>
      <c r="AQ5" s="273">
        <v>3</v>
      </c>
      <c r="AR5" s="187"/>
      <c r="AS5" s="224"/>
      <c r="AT5" s="225"/>
      <c r="AU5" s="225"/>
      <c r="AV5" s="225"/>
      <c r="AX5" s="223">
        <v>0</v>
      </c>
      <c r="AY5" s="273"/>
      <c r="AZ5" s="187"/>
      <c r="BA5" s="224"/>
      <c r="BB5" s="225"/>
      <c r="BC5" s="225"/>
      <c r="BD5" s="225"/>
      <c r="BF5" s="223"/>
      <c r="BG5" s="222"/>
      <c r="BH5" s="187"/>
      <c r="BI5" s="283"/>
      <c r="BJ5" s="225"/>
      <c r="BK5" s="225"/>
      <c r="BL5" s="225"/>
      <c r="BN5" s="223">
        <f t="shared" ref="BN5:BN16" si="0">B5+J5+R5+Z5+AH5+AP5+AX5+BF5</f>
        <v>722</v>
      </c>
      <c r="BO5" s="222"/>
      <c r="BP5" s="187"/>
      <c r="BQ5" s="283"/>
      <c r="BR5" s="225"/>
      <c r="BS5" s="225"/>
      <c r="BT5" s="225"/>
      <c r="BV5" s="223">
        <v>722</v>
      </c>
      <c r="BW5" s="286">
        <f t="shared" ref="BW5:BW17" si="1">BN5-BV5</f>
        <v>0</v>
      </c>
    </row>
    <row r="6" spans="1:75" x14ac:dyDescent="0.25">
      <c r="A6" s="183" t="s">
        <v>79</v>
      </c>
      <c r="B6" s="223">
        <v>154</v>
      </c>
      <c r="C6" s="222"/>
      <c r="D6" s="187"/>
      <c r="E6" s="224"/>
      <c r="F6" s="225"/>
      <c r="G6" s="225"/>
      <c r="H6" s="225"/>
      <c r="J6" s="223">
        <f>135+10</f>
        <v>145</v>
      </c>
      <c r="K6" s="273">
        <v>5</v>
      </c>
      <c r="L6" s="187"/>
      <c r="M6" s="224"/>
      <c r="N6" s="225"/>
      <c r="O6" s="225"/>
      <c r="P6" s="225"/>
      <c r="R6" s="223">
        <v>108</v>
      </c>
      <c r="S6" s="273">
        <v>4</v>
      </c>
      <c r="T6" s="187"/>
      <c r="U6" s="224"/>
      <c r="V6" s="225"/>
      <c r="W6" s="225"/>
      <c r="X6" s="225"/>
      <c r="Z6" s="223">
        <v>129</v>
      </c>
      <c r="AA6" s="273">
        <v>4</v>
      </c>
      <c r="AB6" s="187"/>
      <c r="AC6" s="224"/>
      <c r="AD6" s="225"/>
      <c r="AE6" s="225"/>
      <c r="AF6" s="225"/>
      <c r="AH6" s="227">
        <v>132</v>
      </c>
      <c r="AI6" s="273">
        <v>5</v>
      </c>
      <c r="AJ6" s="278"/>
      <c r="AK6" s="276"/>
      <c r="AL6" s="225"/>
      <c r="AM6" s="225"/>
      <c r="AN6" s="225"/>
      <c r="AP6" s="223">
        <v>75</v>
      </c>
      <c r="AQ6" s="273">
        <v>3</v>
      </c>
      <c r="AR6" s="187"/>
      <c r="AS6" s="224"/>
      <c r="AT6" s="225"/>
      <c r="AU6" s="225"/>
      <c r="AV6" s="225"/>
      <c r="AX6" s="223">
        <v>0</v>
      </c>
      <c r="AY6" s="273"/>
      <c r="AZ6" s="187"/>
      <c r="BA6" s="224"/>
      <c r="BB6" s="225"/>
      <c r="BC6" s="225"/>
      <c r="BD6" s="225"/>
      <c r="BF6" s="223"/>
      <c r="BG6" s="222"/>
      <c r="BH6" s="187"/>
      <c r="BI6" s="283"/>
      <c r="BJ6" s="225"/>
      <c r="BK6" s="225"/>
      <c r="BL6" s="225"/>
      <c r="BN6" s="223">
        <f t="shared" si="0"/>
        <v>743</v>
      </c>
      <c r="BO6" s="222"/>
      <c r="BP6" s="187"/>
      <c r="BQ6" s="283"/>
      <c r="BR6" s="225"/>
      <c r="BS6" s="225"/>
      <c r="BT6" s="225"/>
      <c r="BV6" s="223">
        <v>741</v>
      </c>
      <c r="BW6" s="286">
        <f t="shared" si="1"/>
        <v>2</v>
      </c>
    </row>
    <row r="7" spans="1:75" x14ac:dyDescent="0.25">
      <c r="A7" s="185" t="s">
        <v>80</v>
      </c>
      <c r="B7" s="223">
        <v>153</v>
      </c>
      <c r="C7" s="222"/>
      <c r="D7" s="187"/>
      <c r="E7" s="224"/>
      <c r="F7" s="225"/>
      <c r="G7" s="225"/>
      <c r="H7" s="225"/>
      <c r="J7" s="223">
        <f>135+10</f>
        <v>145</v>
      </c>
      <c r="K7" s="273">
        <v>5</v>
      </c>
      <c r="L7" s="187"/>
      <c r="M7" s="224"/>
      <c r="N7" s="225"/>
      <c r="O7" s="225"/>
      <c r="P7" s="225"/>
      <c r="R7" s="223">
        <f>112+4</f>
        <v>116</v>
      </c>
      <c r="S7" s="273">
        <v>4</v>
      </c>
      <c r="T7" s="187"/>
      <c r="U7" s="224"/>
      <c r="V7" s="225"/>
      <c r="W7" s="225"/>
      <c r="X7" s="225"/>
      <c r="Z7" s="223">
        <v>129</v>
      </c>
      <c r="AA7" s="273">
        <v>4</v>
      </c>
      <c r="AB7" s="187"/>
      <c r="AC7" s="224"/>
      <c r="AD7" s="225"/>
      <c r="AE7" s="225"/>
      <c r="AF7" s="225"/>
      <c r="AH7" s="227">
        <v>137</v>
      </c>
      <c r="AI7" s="273">
        <v>5</v>
      </c>
      <c r="AJ7" s="277"/>
      <c r="AK7" s="276"/>
      <c r="AL7" s="225"/>
      <c r="AM7" s="225"/>
      <c r="AN7" s="225"/>
      <c r="AP7" s="223">
        <v>50</v>
      </c>
      <c r="AQ7" s="273">
        <v>2</v>
      </c>
      <c r="AR7" s="187"/>
      <c r="AS7" s="224"/>
      <c r="AT7" s="225"/>
      <c r="AU7" s="225"/>
      <c r="AV7" s="225"/>
      <c r="AX7" s="223">
        <v>0</v>
      </c>
      <c r="AY7" s="273"/>
      <c r="AZ7" s="187"/>
      <c r="BA7" s="224"/>
      <c r="BB7" s="225"/>
      <c r="BC7" s="225"/>
      <c r="BD7" s="225"/>
      <c r="BF7" s="223"/>
      <c r="BG7" s="222"/>
      <c r="BH7" s="187"/>
      <c r="BI7" s="283"/>
      <c r="BJ7" s="225"/>
      <c r="BK7" s="225"/>
      <c r="BL7" s="225"/>
      <c r="BN7" s="223">
        <f t="shared" si="0"/>
        <v>730</v>
      </c>
      <c r="BO7" s="222"/>
      <c r="BP7" s="187"/>
      <c r="BQ7" s="283"/>
      <c r="BR7" s="225"/>
      <c r="BS7" s="225"/>
      <c r="BT7" s="225"/>
      <c r="BV7" s="223">
        <v>734</v>
      </c>
      <c r="BW7" s="286">
        <f t="shared" si="1"/>
        <v>-4</v>
      </c>
    </row>
    <row r="8" spans="1:75" x14ac:dyDescent="0.25">
      <c r="A8" s="185" t="s">
        <v>81</v>
      </c>
      <c r="B8" s="223">
        <f>158+2</f>
        <v>160</v>
      </c>
      <c r="C8" s="222"/>
      <c r="D8" s="187"/>
      <c r="E8" s="224"/>
      <c r="F8" s="225"/>
      <c r="G8" s="225"/>
      <c r="H8" s="225"/>
      <c r="J8" s="223">
        <f>140+10</f>
        <v>150</v>
      </c>
      <c r="K8" s="273">
        <v>5</v>
      </c>
      <c r="L8" s="187"/>
      <c r="M8" s="224"/>
      <c r="N8" s="225"/>
      <c r="O8" s="225"/>
      <c r="P8" s="225"/>
      <c r="R8" s="223">
        <f>111+4</f>
        <v>115</v>
      </c>
      <c r="S8" s="273">
        <v>4</v>
      </c>
      <c r="T8" s="187"/>
      <c r="U8" s="224"/>
      <c r="V8" s="225"/>
      <c r="W8" s="225"/>
      <c r="X8" s="225"/>
      <c r="Z8" s="223">
        <v>128</v>
      </c>
      <c r="AA8" s="273">
        <v>4</v>
      </c>
      <c r="AB8" s="187"/>
      <c r="AC8" s="224"/>
      <c r="AD8" s="225"/>
      <c r="AE8" s="225"/>
      <c r="AF8" s="225"/>
      <c r="AH8" s="227">
        <f>135+5</f>
        <v>140</v>
      </c>
      <c r="AI8" s="273">
        <v>5</v>
      </c>
      <c r="AJ8" s="277"/>
      <c r="AK8" s="276"/>
      <c r="AL8" s="225"/>
      <c r="AM8" s="225"/>
      <c r="AN8" s="225"/>
      <c r="AP8" s="223">
        <v>48</v>
      </c>
      <c r="AQ8" s="273">
        <v>2</v>
      </c>
      <c r="AR8" s="187"/>
      <c r="AS8" s="224"/>
      <c r="AT8" s="225"/>
      <c r="AU8" s="225"/>
      <c r="AV8" s="225"/>
      <c r="AX8" s="223">
        <v>0</v>
      </c>
      <c r="AY8" s="273"/>
      <c r="AZ8" s="187"/>
      <c r="BA8" s="224"/>
      <c r="BB8" s="225"/>
      <c r="BC8" s="225"/>
      <c r="BD8" s="225"/>
      <c r="BF8" s="223"/>
      <c r="BG8" s="222"/>
      <c r="BH8" s="187"/>
      <c r="BI8" s="283"/>
      <c r="BJ8" s="225"/>
      <c r="BK8" s="225"/>
      <c r="BL8" s="225"/>
      <c r="BN8" s="223">
        <f t="shared" si="0"/>
        <v>741</v>
      </c>
      <c r="BO8" s="222"/>
      <c r="BP8" s="187"/>
      <c r="BQ8" s="283"/>
      <c r="BR8" s="225"/>
      <c r="BS8" s="225"/>
      <c r="BT8" s="225"/>
      <c r="BV8" s="223">
        <v>745</v>
      </c>
      <c r="BW8" s="286">
        <f t="shared" si="1"/>
        <v>-4</v>
      </c>
    </row>
    <row r="9" spans="1:75" x14ac:dyDescent="0.25">
      <c r="A9" s="185" t="s">
        <v>82</v>
      </c>
      <c r="B9" s="223">
        <f>136+3</f>
        <v>139</v>
      </c>
      <c r="C9" s="226"/>
      <c r="D9" s="187"/>
      <c r="E9" s="224"/>
      <c r="F9" s="225"/>
      <c r="G9" s="225"/>
      <c r="H9" s="225"/>
      <c r="J9" s="223">
        <f>145+10</f>
        <v>155</v>
      </c>
      <c r="K9" s="273">
        <v>5</v>
      </c>
      <c r="L9" s="187"/>
      <c r="M9" s="224"/>
      <c r="N9" s="225"/>
      <c r="O9" s="225"/>
      <c r="P9" s="225"/>
      <c r="R9" s="223">
        <v>120</v>
      </c>
      <c r="S9" s="273">
        <v>4</v>
      </c>
      <c r="T9" s="187"/>
      <c r="U9" s="224"/>
      <c r="V9" s="225"/>
      <c r="W9" s="225"/>
      <c r="X9" s="225"/>
      <c r="Z9" s="223">
        <v>135</v>
      </c>
      <c r="AA9" s="273">
        <v>4</v>
      </c>
      <c r="AB9" s="187"/>
      <c r="AC9" s="224"/>
      <c r="AD9" s="225"/>
      <c r="AE9" s="225"/>
      <c r="AF9" s="225"/>
      <c r="AH9" s="227">
        <f>135+5+2</f>
        <v>142</v>
      </c>
      <c r="AI9" s="273">
        <v>5</v>
      </c>
      <c r="AJ9" s="277"/>
      <c r="AK9" s="276"/>
      <c r="AL9" s="225"/>
      <c r="AM9" s="225"/>
      <c r="AN9" s="225"/>
      <c r="AP9" s="223">
        <v>48</v>
      </c>
      <c r="AQ9" s="273">
        <v>2</v>
      </c>
      <c r="AR9" s="187"/>
      <c r="AS9" s="224"/>
      <c r="AT9" s="225"/>
      <c r="AU9" s="225"/>
      <c r="AV9" s="225"/>
      <c r="AX9" s="223">
        <v>0</v>
      </c>
      <c r="AY9" s="273"/>
      <c r="AZ9" s="187"/>
      <c r="BA9" s="224"/>
      <c r="BB9" s="225"/>
      <c r="BC9" s="225"/>
      <c r="BD9" s="225"/>
      <c r="BF9" s="223"/>
      <c r="BG9" s="222"/>
      <c r="BH9" s="187"/>
      <c r="BI9" s="283"/>
      <c r="BJ9" s="225"/>
      <c r="BK9" s="225"/>
      <c r="BL9" s="225"/>
      <c r="BN9" s="223">
        <f t="shared" si="0"/>
        <v>739</v>
      </c>
      <c r="BO9" s="222"/>
      <c r="BP9" s="187"/>
      <c r="BQ9" s="283"/>
      <c r="BR9" s="225"/>
      <c r="BS9" s="225"/>
      <c r="BT9" s="225"/>
      <c r="BV9" s="223">
        <v>744</v>
      </c>
      <c r="BW9" s="286">
        <f t="shared" si="1"/>
        <v>-5</v>
      </c>
    </row>
    <row r="10" spans="1:75" x14ac:dyDescent="0.25">
      <c r="A10" s="185" t="s">
        <v>83</v>
      </c>
      <c r="B10" s="223">
        <v>0</v>
      </c>
      <c r="C10" s="222"/>
      <c r="D10" s="187"/>
      <c r="E10" s="224"/>
      <c r="F10" s="225"/>
      <c r="G10" s="225"/>
      <c r="H10" s="225"/>
      <c r="J10" s="223">
        <v>303</v>
      </c>
      <c r="K10" s="273">
        <v>10</v>
      </c>
      <c r="L10" s="187"/>
      <c r="M10" s="224"/>
      <c r="N10" s="225"/>
      <c r="O10" s="225"/>
      <c r="P10" s="225"/>
      <c r="R10" s="223">
        <v>123</v>
      </c>
      <c r="S10" s="273">
        <v>4</v>
      </c>
      <c r="T10" s="187"/>
      <c r="U10" s="224"/>
      <c r="V10" s="225"/>
      <c r="W10" s="225"/>
      <c r="X10" s="225"/>
      <c r="Z10" s="223">
        <v>140</v>
      </c>
      <c r="AA10" s="273">
        <v>4</v>
      </c>
      <c r="AB10" s="187"/>
      <c r="AC10" s="224"/>
      <c r="AD10" s="225"/>
      <c r="AE10" s="225"/>
      <c r="AF10" s="225"/>
      <c r="AH10" s="227">
        <v>210</v>
      </c>
      <c r="AI10" s="273">
        <v>7</v>
      </c>
      <c r="AJ10" s="277"/>
      <c r="AK10" s="276"/>
      <c r="AL10" s="225"/>
      <c r="AM10" s="225"/>
      <c r="AN10" s="225"/>
      <c r="AP10" s="223">
        <v>0</v>
      </c>
      <c r="AQ10" s="273"/>
      <c r="AR10" s="187"/>
      <c r="AS10" s="224"/>
      <c r="AT10" s="225"/>
      <c r="AU10" s="225"/>
      <c r="AV10" s="225"/>
      <c r="AX10" s="223">
        <v>25</v>
      </c>
      <c r="AY10" s="273"/>
      <c r="AZ10" s="187"/>
      <c r="BA10" s="224"/>
      <c r="BB10" s="225"/>
      <c r="BC10" s="225"/>
      <c r="BD10" s="225"/>
      <c r="BF10" s="223"/>
      <c r="BG10" s="222"/>
      <c r="BH10" s="187"/>
      <c r="BI10" s="283"/>
      <c r="BJ10" s="225"/>
      <c r="BK10" s="225"/>
      <c r="BL10" s="225"/>
      <c r="BN10" s="223">
        <f t="shared" si="0"/>
        <v>801</v>
      </c>
      <c r="BO10" s="222"/>
      <c r="BP10" s="187"/>
      <c r="BQ10" s="283"/>
      <c r="BR10" s="225"/>
      <c r="BS10" s="225"/>
      <c r="BT10" s="225"/>
      <c r="BV10" s="223">
        <v>801</v>
      </c>
      <c r="BW10" s="286">
        <f t="shared" si="1"/>
        <v>0</v>
      </c>
    </row>
    <row r="11" spans="1:75" x14ac:dyDescent="0.25">
      <c r="A11" s="185" t="s">
        <v>84</v>
      </c>
      <c r="B11" s="223">
        <v>0</v>
      </c>
      <c r="C11" s="222"/>
      <c r="D11" s="219"/>
      <c r="E11" s="224"/>
      <c r="F11" s="225"/>
      <c r="G11" s="225"/>
      <c r="H11" s="225"/>
      <c r="J11" s="223">
        <v>279</v>
      </c>
      <c r="K11" s="273">
        <v>9</v>
      </c>
      <c r="L11" s="219"/>
      <c r="M11" s="224"/>
      <c r="N11" s="225"/>
      <c r="O11" s="225"/>
      <c r="P11" s="225"/>
      <c r="R11" s="223">
        <v>122</v>
      </c>
      <c r="S11" s="273">
        <v>4</v>
      </c>
      <c r="T11" s="219"/>
      <c r="U11" s="224"/>
      <c r="V11" s="225"/>
      <c r="W11" s="225"/>
      <c r="X11" s="225"/>
      <c r="Z11" s="223">
        <v>143</v>
      </c>
      <c r="AA11" s="273">
        <v>4</v>
      </c>
      <c r="AB11" s="219"/>
      <c r="AC11" s="224"/>
      <c r="AD11" s="225"/>
      <c r="AE11" s="225"/>
      <c r="AF11" s="225"/>
      <c r="AH11" s="227">
        <v>180</v>
      </c>
      <c r="AI11" s="273">
        <v>6</v>
      </c>
      <c r="AJ11" s="277"/>
      <c r="AK11" s="276"/>
      <c r="AL11" s="225"/>
      <c r="AM11" s="225"/>
      <c r="AN11" s="225"/>
      <c r="AP11" s="223">
        <v>0</v>
      </c>
      <c r="AQ11" s="273"/>
      <c r="AR11" s="219"/>
      <c r="AS11" s="224"/>
      <c r="AT11" s="225"/>
      <c r="AU11" s="225"/>
      <c r="AV11" s="225"/>
      <c r="AX11" s="223">
        <v>25</v>
      </c>
      <c r="AY11" s="273"/>
      <c r="AZ11" s="219"/>
      <c r="BA11" s="224"/>
      <c r="BB11" s="225"/>
      <c r="BC11" s="225"/>
      <c r="BD11" s="225"/>
      <c r="BF11" s="223"/>
      <c r="BG11" s="222"/>
      <c r="BH11" s="219"/>
      <c r="BI11" s="283"/>
      <c r="BJ11" s="225"/>
      <c r="BK11" s="225"/>
      <c r="BL11" s="225"/>
      <c r="BN11" s="223">
        <f t="shared" si="0"/>
        <v>749</v>
      </c>
      <c r="BO11" s="222"/>
      <c r="BP11" s="219"/>
      <c r="BQ11" s="283"/>
      <c r="BR11" s="225"/>
      <c r="BS11" s="225"/>
      <c r="BT11" s="225"/>
      <c r="BV11" s="223">
        <v>749</v>
      </c>
      <c r="BW11" s="286">
        <f t="shared" si="1"/>
        <v>0</v>
      </c>
    </row>
    <row r="12" spans="1:75" x14ac:dyDescent="0.25">
      <c r="A12" s="185" t="s">
        <v>85</v>
      </c>
      <c r="B12" s="223">
        <v>0</v>
      </c>
      <c r="C12" s="222"/>
      <c r="D12" s="187"/>
      <c r="E12" s="224"/>
      <c r="F12" s="225"/>
      <c r="G12" s="225"/>
      <c r="H12" s="225"/>
      <c r="J12" s="223">
        <v>248</v>
      </c>
      <c r="K12" s="273">
        <v>8</v>
      </c>
      <c r="L12" s="187"/>
      <c r="M12" s="224"/>
      <c r="N12" s="225"/>
      <c r="O12" s="225"/>
      <c r="P12" s="225"/>
      <c r="R12" s="223">
        <v>122</v>
      </c>
      <c r="S12" s="273">
        <v>4</v>
      </c>
      <c r="T12" s="187"/>
      <c r="U12" s="224"/>
      <c r="V12" s="225"/>
      <c r="W12" s="225"/>
      <c r="X12" s="225"/>
      <c r="Z12" s="223">
        <v>126</v>
      </c>
      <c r="AA12" s="273">
        <v>4</v>
      </c>
      <c r="AB12" s="187"/>
      <c r="AC12" s="224"/>
      <c r="AD12" s="225"/>
      <c r="AE12" s="225"/>
      <c r="AF12" s="225"/>
      <c r="AH12" s="227">
        <v>186</v>
      </c>
      <c r="AI12" s="273">
        <v>6</v>
      </c>
      <c r="AJ12" s="277"/>
      <c r="AK12" s="276"/>
      <c r="AL12" s="225"/>
      <c r="AM12" s="225"/>
      <c r="AN12" s="225"/>
      <c r="AP12" s="223">
        <v>0</v>
      </c>
      <c r="AQ12" s="273"/>
      <c r="AR12" s="187"/>
      <c r="AS12" s="224"/>
      <c r="AT12" s="225"/>
      <c r="AU12" s="225"/>
      <c r="AV12" s="225"/>
      <c r="AX12" s="223">
        <v>25</v>
      </c>
      <c r="AY12" s="273"/>
      <c r="AZ12" s="187"/>
      <c r="BA12" s="224"/>
      <c r="BB12" s="225"/>
      <c r="BC12" s="225"/>
      <c r="BD12" s="225"/>
      <c r="BF12" s="223"/>
      <c r="BG12" s="222"/>
      <c r="BH12" s="187"/>
      <c r="BI12" s="283"/>
      <c r="BJ12" s="225"/>
      <c r="BK12" s="225"/>
      <c r="BL12" s="225"/>
      <c r="BN12" s="223">
        <f t="shared" si="0"/>
        <v>707</v>
      </c>
      <c r="BO12" s="222"/>
      <c r="BP12" s="187"/>
      <c r="BQ12" s="283"/>
      <c r="BR12" s="225"/>
      <c r="BS12" s="225"/>
      <c r="BT12" s="225"/>
      <c r="BV12" s="223">
        <v>707</v>
      </c>
      <c r="BW12" s="286">
        <f t="shared" si="1"/>
        <v>0</v>
      </c>
    </row>
    <row r="13" spans="1:75" x14ac:dyDescent="0.25">
      <c r="A13" s="185" t="s">
        <v>86</v>
      </c>
      <c r="B13" s="227">
        <v>0</v>
      </c>
      <c r="C13" s="222"/>
      <c r="D13" s="219"/>
      <c r="E13" s="224"/>
      <c r="F13" s="225"/>
      <c r="G13" s="225"/>
      <c r="H13" s="225"/>
      <c r="J13" s="227">
        <v>217</v>
      </c>
      <c r="K13" s="273">
        <v>7</v>
      </c>
      <c r="L13" s="219"/>
      <c r="M13" s="224"/>
      <c r="N13" s="225"/>
      <c r="O13" s="225"/>
      <c r="P13" s="225"/>
      <c r="R13" s="227">
        <v>0</v>
      </c>
      <c r="S13" s="273"/>
      <c r="T13" s="219"/>
      <c r="U13" s="224"/>
      <c r="V13" s="225"/>
      <c r="W13" s="225"/>
      <c r="X13" s="225"/>
      <c r="Z13" s="227">
        <v>0</v>
      </c>
      <c r="AA13" s="273"/>
      <c r="AB13" s="219"/>
      <c r="AC13" s="224"/>
      <c r="AD13" s="225"/>
      <c r="AE13" s="225"/>
      <c r="AF13" s="225"/>
      <c r="AH13" s="227">
        <v>330</v>
      </c>
      <c r="AI13" s="273">
        <v>10</v>
      </c>
      <c r="AJ13" s="277"/>
      <c r="AK13" s="276"/>
      <c r="AL13" s="225"/>
      <c r="AM13" s="225"/>
      <c r="AN13" s="225"/>
      <c r="AP13" s="227">
        <v>0</v>
      </c>
      <c r="AQ13" s="273"/>
      <c r="AR13" s="219"/>
      <c r="AS13" s="224"/>
      <c r="AT13" s="225"/>
      <c r="AU13" s="225"/>
      <c r="AV13" s="225"/>
      <c r="AX13" s="227">
        <v>20</v>
      </c>
      <c r="AY13" s="273"/>
      <c r="AZ13" s="219"/>
      <c r="BA13" s="224"/>
      <c r="BB13" s="225"/>
      <c r="BC13" s="225"/>
      <c r="BD13" s="225"/>
      <c r="BF13" s="227"/>
      <c r="BG13" s="222"/>
      <c r="BH13" s="219"/>
      <c r="BI13" s="283"/>
      <c r="BJ13" s="225"/>
      <c r="BK13" s="225"/>
      <c r="BL13" s="225"/>
      <c r="BN13" s="223">
        <f t="shared" si="0"/>
        <v>567</v>
      </c>
      <c r="BO13" s="222"/>
      <c r="BP13" s="219"/>
      <c r="BQ13" s="283"/>
      <c r="BR13" s="225"/>
      <c r="BS13" s="225"/>
      <c r="BT13" s="225"/>
      <c r="BV13" s="223">
        <v>567</v>
      </c>
      <c r="BW13" s="286">
        <f t="shared" si="1"/>
        <v>0</v>
      </c>
    </row>
    <row r="14" spans="1:75" x14ac:dyDescent="0.25">
      <c r="A14" s="185" t="s">
        <v>87</v>
      </c>
      <c r="B14" s="227">
        <v>0</v>
      </c>
      <c r="C14" s="222"/>
      <c r="J14" s="227">
        <v>217</v>
      </c>
      <c r="K14" s="273">
        <v>7</v>
      </c>
      <c r="R14" s="227">
        <v>0</v>
      </c>
      <c r="S14" s="273"/>
      <c r="Z14" s="227">
        <v>0</v>
      </c>
      <c r="AA14" s="273"/>
      <c r="AH14" s="227">
        <v>300</v>
      </c>
      <c r="AI14" s="273">
        <v>10</v>
      </c>
      <c r="AJ14" s="277"/>
      <c r="AP14" s="227">
        <v>0</v>
      </c>
      <c r="AQ14" s="273"/>
      <c r="AX14" s="227">
        <v>20</v>
      </c>
      <c r="AY14" s="273"/>
      <c r="BF14" s="227">
        <v>0</v>
      </c>
      <c r="BG14" s="222"/>
      <c r="BN14" s="223">
        <f t="shared" si="0"/>
        <v>537</v>
      </c>
      <c r="BO14" s="222"/>
      <c r="BV14" s="223">
        <v>537</v>
      </c>
      <c r="BW14" s="286">
        <f t="shared" si="1"/>
        <v>0</v>
      </c>
    </row>
    <row r="15" spans="1:75" x14ac:dyDescent="0.25">
      <c r="A15" s="185" t="s">
        <v>88</v>
      </c>
      <c r="B15" s="227">
        <v>0</v>
      </c>
      <c r="C15" s="222"/>
      <c r="D15" s="222"/>
      <c r="E15" s="222"/>
      <c r="F15" s="222"/>
      <c r="J15" s="227">
        <v>188</v>
      </c>
      <c r="K15" s="273">
        <v>7</v>
      </c>
      <c r="L15" s="222"/>
      <c r="M15" s="222"/>
      <c r="N15" s="222"/>
      <c r="R15" s="227">
        <v>0</v>
      </c>
      <c r="S15" s="273"/>
      <c r="T15" s="222"/>
      <c r="U15" s="222"/>
      <c r="V15" s="222"/>
      <c r="Z15" s="227">
        <v>0</v>
      </c>
      <c r="AA15" s="273"/>
      <c r="AB15" s="222"/>
      <c r="AC15" s="222"/>
      <c r="AD15" s="222"/>
      <c r="AH15" s="227">
        <v>220</v>
      </c>
      <c r="AI15" s="273">
        <v>8</v>
      </c>
      <c r="AJ15" s="277"/>
      <c r="AK15" s="222"/>
      <c r="AL15" s="222"/>
      <c r="AP15" s="227">
        <v>0</v>
      </c>
      <c r="AQ15" s="273"/>
      <c r="AR15" s="222"/>
      <c r="AS15" s="222"/>
      <c r="AT15" s="222"/>
      <c r="AX15" s="227">
        <v>15</v>
      </c>
      <c r="AY15" s="273"/>
      <c r="AZ15" s="222"/>
      <c r="BA15" s="222"/>
      <c r="BB15" s="222"/>
      <c r="BF15" s="227">
        <v>0</v>
      </c>
      <c r="BG15" s="222"/>
      <c r="BH15" s="222"/>
      <c r="BI15" s="222"/>
      <c r="BJ15" s="222"/>
      <c r="BN15" s="223">
        <f t="shared" si="0"/>
        <v>423</v>
      </c>
      <c r="BO15" s="222"/>
      <c r="BP15" s="222"/>
      <c r="BQ15" s="222"/>
      <c r="BR15" s="222"/>
      <c r="BV15" s="223">
        <v>423</v>
      </c>
      <c r="BW15" s="286">
        <f t="shared" si="1"/>
        <v>0</v>
      </c>
    </row>
    <row r="16" spans="1:75" x14ac:dyDescent="0.25">
      <c r="A16" s="185" t="s">
        <v>89</v>
      </c>
      <c r="B16" s="227">
        <v>0</v>
      </c>
      <c r="C16" s="222"/>
      <c r="D16" s="222"/>
      <c r="E16" s="222"/>
      <c r="F16" s="222"/>
      <c r="J16" s="227">
        <v>174</v>
      </c>
      <c r="K16" s="273">
        <v>6</v>
      </c>
      <c r="L16" s="222"/>
      <c r="M16" s="222"/>
      <c r="N16" s="222"/>
      <c r="R16" s="227">
        <v>0</v>
      </c>
      <c r="S16" s="273"/>
      <c r="T16" s="222"/>
      <c r="U16" s="222"/>
      <c r="V16" s="222"/>
      <c r="Z16" s="227">
        <v>0</v>
      </c>
      <c r="AA16" s="273"/>
      <c r="AB16" s="222"/>
      <c r="AC16" s="222"/>
      <c r="AD16" s="222"/>
      <c r="AH16" s="227">
        <v>189</v>
      </c>
      <c r="AI16" s="273">
        <v>7</v>
      </c>
      <c r="AJ16" s="277"/>
      <c r="AK16" s="222"/>
      <c r="AL16" s="222"/>
      <c r="AP16" s="227">
        <v>0</v>
      </c>
      <c r="AQ16" s="273"/>
      <c r="AR16" s="222"/>
      <c r="AS16" s="222"/>
      <c r="AT16" s="222"/>
      <c r="AX16" s="227">
        <v>10</v>
      </c>
      <c r="AY16" s="273"/>
      <c r="AZ16" s="222"/>
      <c r="BA16" s="222"/>
      <c r="BB16" s="222"/>
      <c r="BF16" s="227">
        <v>0</v>
      </c>
      <c r="BG16" s="222"/>
      <c r="BH16" s="222"/>
      <c r="BI16" s="222"/>
      <c r="BJ16" s="222"/>
      <c r="BN16" s="223">
        <f t="shared" si="0"/>
        <v>373</v>
      </c>
      <c r="BO16" s="222"/>
      <c r="BP16" s="222"/>
      <c r="BQ16" s="222"/>
      <c r="BR16" s="222"/>
      <c r="BV16" s="223">
        <v>373</v>
      </c>
      <c r="BW16" s="286">
        <f t="shared" si="1"/>
        <v>0</v>
      </c>
    </row>
    <row r="17" spans="1:75" x14ac:dyDescent="0.25">
      <c r="A17" s="186" t="s">
        <v>75</v>
      </c>
      <c r="B17" s="221">
        <f>SUM(B4:B16)</f>
        <v>910</v>
      </c>
      <c r="C17" s="222"/>
      <c r="D17" s="222"/>
      <c r="E17" s="222"/>
      <c r="F17" s="222"/>
      <c r="J17" s="221">
        <f>SUM(J4:J16)</f>
        <v>2486</v>
      </c>
      <c r="K17" s="273">
        <f>SUM(K4:K16)</f>
        <v>84</v>
      </c>
      <c r="L17" s="222"/>
      <c r="M17" s="222"/>
      <c r="N17" s="222"/>
      <c r="R17" s="221">
        <f>SUM(R4:R16)</f>
        <v>1030</v>
      </c>
      <c r="S17" s="273">
        <f>SUM(S4:S16)</f>
        <v>36</v>
      </c>
      <c r="T17" s="222"/>
      <c r="U17" s="222"/>
      <c r="V17" s="222"/>
      <c r="Z17" s="221">
        <f>SUM(Z4:Z16)</f>
        <v>1184</v>
      </c>
      <c r="AA17" s="273">
        <f>SUM(AA4:AA16)</f>
        <v>36</v>
      </c>
      <c r="AB17" s="222"/>
      <c r="AC17" s="222"/>
      <c r="AD17" s="222"/>
      <c r="AH17" s="221">
        <f>SUM(AH4:AH16)</f>
        <v>2416</v>
      </c>
      <c r="AI17" s="273">
        <f>SUM(AI4:AI16)</f>
        <v>84</v>
      </c>
      <c r="AJ17" s="222"/>
      <c r="AK17" s="222"/>
      <c r="AL17" s="222"/>
      <c r="AP17" s="221">
        <f>SUM(AP4:AP16)</f>
        <v>370</v>
      </c>
      <c r="AQ17" s="273">
        <f>SUM(AQ4:AQ16)</f>
        <v>15</v>
      </c>
      <c r="AR17" s="222"/>
      <c r="AS17" s="222"/>
      <c r="AT17" s="222"/>
      <c r="AX17" s="221">
        <f>SUM(AX4:AX16)</f>
        <v>140</v>
      </c>
      <c r="AY17" s="273">
        <f>SUM(AY4:AY16)</f>
        <v>0</v>
      </c>
      <c r="AZ17" s="222"/>
      <c r="BA17" s="222"/>
      <c r="BB17" s="222"/>
      <c r="BF17" s="221">
        <f>SUM(BF4:BF16)</f>
        <v>0</v>
      </c>
      <c r="BG17" s="222"/>
      <c r="BH17" s="222"/>
      <c r="BI17" s="222"/>
      <c r="BJ17" s="222"/>
      <c r="BN17" s="221">
        <f>SUM(BN4:BN16)</f>
        <v>8536</v>
      </c>
      <c r="BO17" s="222"/>
      <c r="BP17" s="222"/>
      <c r="BQ17" s="222"/>
      <c r="BR17" s="222"/>
      <c r="BV17" s="221">
        <v>8547</v>
      </c>
      <c r="BW17" s="286">
        <f t="shared" si="1"/>
        <v>-11</v>
      </c>
    </row>
    <row r="20" spans="1:75" x14ac:dyDescent="0.25">
      <c r="A20" s="188" t="s">
        <v>173</v>
      </c>
      <c r="B20" s="228" t="s">
        <v>309</v>
      </c>
      <c r="C20" s="228" t="s">
        <v>310</v>
      </c>
      <c r="D20" s="228" t="s">
        <v>311</v>
      </c>
      <c r="E20" s="228" t="s">
        <v>312</v>
      </c>
      <c r="F20" s="228" t="s">
        <v>313</v>
      </c>
      <c r="G20" s="228" t="s">
        <v>314</v>
      </c>
      <c r="H20" s="228" t="s">
        <v>320</v>
      </c>
      <c r="J20" s="228" t="s">
        <v>309</v>
      </c>
      <c r="K20" s="228" t="s">
        <v>310</v>
      </c>
      <c r="L20" s="228" t="s">
        <v>311</v>
      </c>
      <c r="M20" s="228" t="s">
        <v>312</v>
      </c>
      <c r="N20" s="228" t="s">
        <v>313</v>
      </c>
      <c r="O20" s="228" t="s">
        <v>314</v>
      </c>
      <c r="P20" s="228" t="s">
        <v>60</v>
      </c>
      <c r="R20" s="228" t="s">
        <v>309</v>
      </c>
      <c r="S20" s="228" t="s">
        <v>310</v>
      </c>
      <c r="T20" s="228" t="s">
        <v>311</v>
      </c>
      <c r="U20" s="228" t="s">
        <v>312</v>
      </c>
      <c r="V20" s="228" t="s">
        <v>313</v>
      </c>
      <c r="W20" s="228" t="s">
        <v>314</v>
      </c>
      <c r="X20" s="228" t="s">
        <v>62</v>
      </c>
      <c r="Z20" s="228" t="s">
        <v>309</v>
      </c>
      <c r="AA20" s="228" t="s">
        <v>310</v>
      </c>
      <c r="AB20" s="228" t="s">
        <v>311</v>
      </c>
      <c r="AC20" s="228" t="s">
        <v>312</v>
      </c>
      <c r="AD20" s="228" t="s">
        <v>313</v>
      </c>
      <c r="AE20" s="228" t="s">
        <v>314</v>
      </c>
      <c r="AF20" s="228" t="s">
        <v>63</v>
      </c>
      <c r="AH20" s="228" t="s">
        <v>309</v>
      </c>
      <c r="AI20" s="228" t="s">
        <v>310</v>
      </c>
      <c r="AJ20" s="228" t="s">
        <v>311</v>
      </c>
      <c r="AK20" s="228" t="s">
        <v>312</v>
      </c>
      <c r="AL20" s="228" t="s">
        <v>313</v>
      </c>
      <c r="AM20" s="228" t="s">
        <v>314</v>
      </c>
      <c r="AN20" s="228" t="s">
        <v>316</v>
      </c>
      <c r="AP20" s="228" t="s">
        <v>309</v>
      </c>
      <c r="AQ20" s="228" t="s">
        <v>310</v>
      </c>
      <c r="AR20" s="228" t="s">
        <v>311</v>
      </c>
      <c r="AS20" s="228" t="s">
        <v>312</v>
      </c>
      <c r="AT20" s="228" t="s">
        <v>313</v>
      </c>
      <c r="AU20" s="228" t="s">
        <v>314</v>
      </c>
      <c r="AV20" s="228" t="s">
        <v>317</v>
      </c>
      <c r="AX20" s="228" t="s">
        <v>309</v>
      </c>
      <c r="AY20" s="228" t="s">
        <v>310</v>
      </c>
      <c r="AZ20" s="228" t="s">
        <v>311</v>
      </c>
      <c r="BA20" s="228" t="s">
        <v>312</v>
      </c>
      <c r="BB20" s="228" t="s">
        <v>313</v>
      </c>
      <c r="BC20" s="228" t="s">
        <v>314</v>
      </c>
      <c r="BD20" s="228" t="s">
        <v>318</v>
      </c>
      <c r="BF20" s="228" t="s">
        <v>309</v>
      </c>
      <c r="BG20" s="228" t="s">
        <v>310</v>
      </c>
      <c r="BH20" s="228" t="s">
        <v>311</v>
      </c>
      <c r="BI20" s="228" t="s">
        <v>312</v>
      </c>
      <c r="BJ20" s="228" t="s">
        <v>313</v>
      </c>
      <c r="BK20" s="228" t="s">
        <v>314</v>
      </c>
      <c r="BL20" s="228" t="str">
        <f>BF1</f>
        <v>Central</v>
      </c>
      <c r="BN20" s="228" t="s">
        <v>309</v>
      </c>
      <c r="BO20" s="228" t="s">
        <v>310</v>
      </c>
      <c r="BP20" s="228" t="s">
        <v>311</v>
      </c>
      <c r="BQ20" s="228" t="s">
        <v>312</v>
      </c>
      <c r="BR20" s="228" t="s">
        <v>313</v>
      </c>
      <c r="BS20" s="228" t="s">
        <v>314</v>
      </c>
      <c r="BT20" s="228" t="str">
        <f>BN1</f>
        <v>System</v>
      </c>
      <c r="BV20" s="228" t="s">
        <v>320</v>
      </c>
    </row>
    <row r="21" spans="1:75" x14ac:dyDescent="0.25">
      <c r="A21" s="185" t="s">
        <v>174</v>
      </c>
      <c r="B21" s="227"/>
      <c r="C21" s="227">
        <v>112</v>
      </c>
      <c r="D21" s="227"/>
      <c r="E21" s="227"/>
      <c r="F21" s="227"/>
      <c r="G21" s="227"/>
      <c r="H21" s="227">
        <f>SUM(B21:G21)</f>
        <v>112</v>
      </c>
      <c r="J21" s="227"/>
      <c r="K21" s="227">
        <v>285</v>
      </c>
      <c r="L21" s="227"/>
      <c r="M21" s="227"/>
      <c r="N21" s="227"/>
      <c r="O21" s="227"/>
      <c r="P21" s="227">
        <f>SUM(J21:O21)</f>
        <v>285</v>
      </c>
      <c r="R21" s="227"/>
      <c r="S21" s="227">
        <v>80</v>
      </c>
      <c r="T21" s="227"/>
      <c r="U21" s="227"/>
      <c r="V21" s="227"/>
      <c r="W21" s="227"/>
      <c r="X21" s="227">
        <f>SUM(R21:W21)</f>
        <v>80</v>
      </c>
      <c r="Z21" s="227"/>
      <c r="AA21" s="227">
        <v>100</v>
      </c>
      <c r="AB21" s="227"/>
      <c r="AC21" s="227"/>
      <c r="AD21" s="227"/>
      <c r="AE21" s="227"/>
      <c r="AF21" s="227">
        <f>SUM(Z21:AE21)</f>
        <v>100</v>
      </c>
      <c r="AH21" s="227"/>
      <c r="AI21" s="227">
        <v>197</v>
      </c>
      <c r="AJ21" s="227"/>
      <c r="AK21" s="227"/>
      <c r="AL21" s="227"/>
      <c r="AM21" s="227"/>
      <c r="AN21" s="227">
        <f>SUM(AH21:AM21)</f>
        <v>197</v>
      </c>
      <c r="AP21" s="227"/>
      <c r="AQ21" s="227">
        <v>28</v>
      </c>
      <c r="AR21" s="227"/>
      <c r="AS21" s="227"/>
      <c r="AT21" s="227"/>
      <c r="AU21" s="227"/>
      <c r="AV21" s="227">
        <f>SUM(AP21:AU21)</f>
        <v>28</v>
      </c>
      <c r="AX21" s="227"/>
      <c r="AY21" s="227">
        <v>21</v>
      </c>
      <c r="AZ21" s="227"/>
      <c r="BA21" s="227"/>
      <c r="BB21" s="227"/>
      <c r="BC21" s="227"/>
      <c r="BD21" s="227">
        <f>SUM(AX21:BC21)</f>
        <v>21</v>
      </c>
      <c r="BF21" s="229"/>
      <c r="BG21" s="229"/>
      <c r="BH21" s="229"/>
      <c r="BI21" s="227"/>
      <c r="BJ21" s="227"/>
      <c r="BK21" s="227"/>
      <c r="BL21" s="227">
        <f>SUM(BF21:BK21)</f>
        <v>0</v>
      </c>
      <c r="BN21" s="229">
        <f>B21+J21+R21+Z21+AH21+AP21+AX21+BF21</f>
        <v>0</v>
      </c>
      <c r="BO21" s="229">
        <f t="shared" ref="BO21:BS21" si="2">C21+K21+S21+AA21+AI21+AQ21+AY21+BG21</f>
        <v>823</v>
      </c>
      <c r="BP21" s="229">
        <f t="shared" si="2"/>
        <v>0</v>
      </c>
      <c r="BQ21" s="229">
        <f t="shared" si="2"/>
        <v>0</v>
      </c>
      <c r="BR21" s="229">
        <f t="shared" si="2"/>
        <v>0</v>
      </c>
      <c r="BS21" s="229">
        <f t="shared" si="2"/>
        <v>0</v>
      </c>
      <c r="BT21" s="227">
        <f>SUM(BN21:BS21)</f>
        <v>823</v>
      </c>
      <c r="BV21" s="227">
        <v>823</v>
      </c>
      <c r="BW21" s="286">
        <f>BT21-BV21</f>
        <v>0</v>
      </c>
    </row>
    <row r="22" spans="1:75" x14ac:dyDescent="0.25">
      <c r="A22" s="185" t="s">
        <v>175</v>
      </c>
      <c r="B22" s="227">
        <v>35</v>
      </c>
      <c r="C22" s="227"/>
      <c r="D22" s="227"/>
      <c r="E22" s="227"/>
      <c r="F22" s="227"/>
      <c r="G22" s="227"/>
      <c r="H22" s="227">
        <f>SUM(B22:G22)</f>
        <v>35</v>
      </c>
      <c r="J22" s="227">
        <v>50</v>
      </c>
      <c r="K22" s="227"/>
      <c r="L22" s="227"/>
      <c r="M22" s="227"/>
      <c r="N22" s="227"/>
      <c r="O22" s="227"/>
      <c r="P22" s="227">
        <f>SUM(J22:O22)</f>
        <v>50</v>
      </c>
      <c r="R22" s="227">
        <v>22</v>
      </c>
      <c r="S22" s="227"/>
      <c r="T22" s="227"/>
      <c r="U22" s="227"/>
      <c r="V22" s="227"/>
      <c r="W22" s="227"/>
      <c r="X22" s="227">
        <f>SUM(R22:W22)</f>
        <v>22</v>
      </c>
      <c r="Z22" s="227">
        <v>42</v>
      </c>
      <c r="AA22" s="227"/>
      <c r="AB22" s="227"/>
      <c r="AC22" s="227"/>
      <c r="AD22" s="227"/>
      <c r="AE22" s="227"/>
      <c r="AF22" s="227">
        <f>SUM(Z22:AE22)</f>
        <v>42</v>
      </c>
      <c r="AH22" s="227">
        <v>45</v>
      </c>
      <c r="AI22" s="227"/>
      <c r="AJ22" s="227"/>
      <c r="AK22" s="227"/>
      <c r="AL22" s="227"/>
      <c r="AM22" s="227"/>
      <c r="AN22" s="227">
        <f>SUM(AH22:AM22)</f>
        <v>45</v>
      </c>
      <c r="AP22" s="227">
        <v>28</v>
      </c>
      <c r="AQ22" s="227"/>
      <c r="AR22" s="227"/>
      <c r="AS22" s="227"/>
      <c r="AT22" s="227"/>
      <c r="AU22" s="227"/>
      <c r="AV22" s="227">
        <f>SUM(AP22:AU22)</f>
        <v>28</v>
      </c>
      <c r="AX22" s="227">
        <v>2</v>
      </c>
      <c r="AY22" s="227"/>
      <c r="AZ22" s="227"/>
      <c r="BA22" s="227"/>
      <c r="BB22" s="227"/>
      <c r="BC22" s="227"/>
      <c r="BD22" s="227">
        <f>SUM(AX22:BC22)</f>
        <v>2</v>
      </c>
      <c r="BF22" s="229"/>
      <c r="BG22" s="229"/>
      <c r="BH22" s="229"/>
      <c r="BI22" s="227"/>
      <c r="BJ22" s="227"/>
      <c r="BK22" s="227"/>
      <c r="BL22" s="227">
        <f>SUM(BF22:BK22)</f>
        <v>0</v>
      </c>
      <c r="BN22" s="229">
        <f t="shared" ref="BN22:BN25" si="3">B22+J22+R22+Z22+AH22+AP22+AX22+BF22</f>
        <v>224</v>
      </c>
      <c r="BO22" s="229">
        <f t="shared" ref="BO22:BO25" si="4">C22+K22+S22+AA22+AI22+AQ22+AY22+BG22</f>
        <v>0</v>
      </c>
      <c r="BP22" s="229">
        <f t="shared" ref="BP22:BP24" si="5">D22+L22+T22+AB22+AJ22+AR22+AZ22+BH22</f>
        <v>0</v>
      </c>
      <c r="BQ22" s="229">
        <f t="shared" ref="BQ22:BQ25" si="6">E22+M22+U22+AC22+AK22+AS22+BA22+BI22</f>
        <v>0</v>
      </c>
      <c r="BR22" s="229">
        <f t="shared" ref="BR22:BR25" si="7">F22+N22+V22+AD22+AL22+AT22+BB22+BJ22</f>
        <v>0</v>
      </c>
      <c r="BS22" s="229">
        <f t="shared" ref="BS22:BS25" si="8">G22+O22+W22+AE22+AM22+AU22+BC22+BK22</f>
        <v>0</v>
      </c>
      <c r="BT22" s="227">
        <f>SUM(BN22:BS22)</f>
        <v>224</v>
      </c>
      <c r="BV22" s="227">
        <v>224</v>
      </c>
      <c r="BW22" s="286">
        <f t="shared" ref="BW22:BW85" si="9">BT22-BV22</f>
        <v>0</v>
      </c>
    </row>
    <row r="23" spans="1:75" x14ac:dyDescent="0.25">
      <c r="A23" s="185" t="s">
        <v>176</v>
      </c>
      <c r="B23" s="229">
        <v>33</v>
      </c>
      <c r="C23" s="229"/>
      <c r="D23" s="229"/>
      <c r="E23" s="229"/>
      <c r="F23" s="229"/>
      <c r="G23" s="229"/>
      <c r="H23" s="227">
        <f>SUM(B23:G23)</f>
        <v>33</v>
      </c>
      <c r="J23" s="229">
        <v>40</v>
      </c>
      <c r="K23" s="229"/>
      <c r="L23" s="229"/>
      <c r="M23" s="229"/>
      <c r="N23" s="229"/>
      <c r="O23" s="229"/>
      <c r="P23" s="227">
        <f>SUM(J23:O23)</f>
        <v>40</v>
      </c>
      <c r="R23" s="229">
        <v>67</v>
      </c>
      <c r="S23" s="229"/>
      <c r="T23" s="229"/>
      <c r="U23" s="229"/>
      <c r="V23" s="229"/>
      <c r="W23" s="229"/>
      <c r="X23" s="227">
        <f>SUM(R23:W23)</f>
        <v>67</v>
      </c>
      <c r="Z23" s="229">
        <v>56</v>
      </c>
      <c r="AA23" s="229"/>
      <c r="AB23" s="229"/>
      <c r="AC23" s="229"/>
      <c r="AD23" s="229"/>
      <c r="AE23" s="229"/>
      <c r="AF23" s="227">
        <f>SUM(Z23:AE23)</f>
        <v>56</v>
      </c>
      <c r="AH23" s="229">
        <v>89</v>
      </c>
      <c r="AI23" s="229"/>
      <c r="AJ23" s="229"/>
      <c r="AK23" s="229"/>
      <c r="AL23" s="229"/>
      <c r="AM23" s="229"/>
      <c r="AN23" s="227">
        <f>SUM(AH23:AM23)</f>
        <v>89</v>
      </c>
      <c r="AP23" s="229">
        <v>0</v>
      </c>
      <c r="AQ23" s="229"/>
      <c r="AR23" s="229"/>
      <c r="AS23" s="229"/>
      <c r="AT23" s="229"/>
      <c r="AU23" s="229"/>
      <c r="AV23" s="227">
        <f>SUM(AP23:AU23)</f>
        <v>0</v>
      </c>
      <c r="AX23" s="229">
        <v>0</v>
      </c>
      <c r="AY23" s="229"/>
      <c r="AZ23" s="229"/>
      <c r="BA23" s="229"/>
      <c r="BB23" s="229"/>
      <c r="BC23" s="229"/>
      <c r="BD23" s="227">
        <f>SUM(AX23:BC23)</f>
        <v>0</v>
      </c>
      <c r="BF23" s="229"/>
      <c r="BG23" s="229"/>
      <c r="BH23" s="229"/>
      <c r="BI23" s="229"/>
      <c r="BJ23" s="229"/>
      <c r="BK23" s="229"/>
      <c r="BL23" s="227">
        <f>SUM(BF23:BK23)</f>
        <v>0</v>
      </c>
      <c r="BN23" s="229">
        <f t="shared" si="3"/>
        <v>285</v>
      </c>
      <c r="BO23" s="229">
        <f t="shared" si="4"/>
        <v>0</v>
      </c>
      <c r="BP23" s="229">
        <f t="shared" si="5"/>
        <v>0</v>
      </c>
      <c r="BQ23" s="229">
        <f t="shared" si="6"/>
        <v>0</v>
      </c>
      <c r="BR23" s="229">
        <f t="shared" si="7"/>
        <v>0</v>
      </c>
      <c r="BS23" s="229">
        <f t="shared" si="8"/>
        <v>0</v>
      </c>
      <c r="BT23" s="227">
        <f>SUM(BN23:BS23)</f>
        <v>285</v>
      </c>
      <c r="BV23" s="227">
        <v>285</v>
      </c>
      <c r="BW23" s="286">
        <f t="shared" si="9"/>
        <v>0</v>
      </c>
    </row>
    <row r="24" spans="1:75" x14ac:dyDescent="0.25">
      <c r="A24" s="185" t="s">
        <v>177</v>
      </c>
      <c r="B24" s="229">
        <v>0</v>
      </c>
      <c r="C24" s="229"/>
      <c r="D24" s="229"/>
      <c r="E24" s="229"/>
      <c r="F24" s="229"/>
      <c r="G24" s="229"/>
      <c r="H24" s="227">
        <f>SUM(B24:G24)</f>
        <v>0</v>
      </c>
      <c r="J24" s="229">
        <v>55</v>
      </c>
      <c r="K24" s="229"/>
      <c r="L24" s="229"/>
      <c r="M24" s="229"/>
      <c r="N24" s="229"/>
      <c r="O24" s="229"/>
      <c r="P24" s="227">
        <f>SUM(J24:O24)</f>
        <v>55</v>
      </c>
      <c r="R24" s="229"/>
      <c r="S24" s="229"/>
      <c r="T24" s="229"/>
      <c r="U24" s="229"/>
      <c r="V24" s="229"/>
      <c r="W24" s="229"/>
      <c r="X24" s="227">
        <f>SUM(R24:W24)</f>
        <v>0</v>
      </c>
      <c r="Z24" s="229"/>
      <c r="AA24" s="229"/>
      <c r="AB24" s="229"/>
      <c r="AC24" s="229"/>
      <c r="AD24" s="229"/>
      <c r="AE24" s="229"/>
      <c r="AF24" s="227">
        <f>SUM(Z24:AE24)</f>
        <v>0</v>
      </c>
      <c r="AH24" s="229">
        <v>45</v>
      </c>
      <c r="AI24" s="229"/>
      <c r="AJ24" s="229"/>
      <c r="AK24" s="229"/>
      <c r="AL24" s="229"/>
      <c r="AM24" s="229"/>
      <c r="AN24" s="227">
        <f>SUM(AH24:AM24)</f>
        <v>45</v>
      </c>
      <c r="AP24" s="229">
        <v>10</v>
      </c>
      <c r="AQ24" s="229"/>
      <c r="AR24" s="229"/>
      <c r="AS24" s="229"/>
      <c r="AT24" s="229"/>
      <c r="AU24" s="229"/>
      <c r="AV24" s="227">
        <f>SUM(AP24:AU24)</f>
        <v>10</v>
      </c>
      <c r="AX24" s="229">
        <v>2</v>
      </c>
      <c r="AY24" s="229"/>
      <c r="AZ24" s="229"/>
      <c r="BA24" s="229"/>
      <c r="BB24" s="229"/>
      <c r="BC24" s="229"/>
      <c r="BD24" s="227">
        <f>SUM(AX24:BC24)</f>
        <v>2</v>
      </c>
      <c r="BF24" s="229"/>
      <c r="BG24" s="229"/>
      <c r="BH24" s="229"/>
      <c r="BI24" s="229"/>
      <c r="BJ24" s="229"/>
      <c r="BK24" s="229"/>
      <c r="BL24" s="227">
        <f>SUM(BF24:BK24)</f>
        <v>0</v>
      </c>
      <c r="BN24" s="229">
        <f t="shared" si="3"/>
        <v>112</v>
      </c>
      <c r="BO24" s="229">
        <f t="shared" si="4"/>
        <v>0</v>
      </c>
      <c r="BP24" s="229">
        <f t="shared" si="5"/>
        <v>0</v>
      </c>
      <c r="BQ24" s="229">
        <f t="shared" si="6"/>
        <v>0</v>
      </c>
      <c r="BR24" s="229">
        <f t="shared" si="7"/>
        <v>0</v>
      </c>
      <c r="BS24" s="229">
        <f t="shared" si="8"/>
        <v>0</v>
      </c>
      <c r="BT24" s="227">
        <f>SUM(BN24:BS24)</f>
        <v>112</v>
      </c>
      <c r="BV24" s="227">
        <v>112</v>
      </c>
      <c r="BW24" s="286">
        <f t="shared" si="9"/>
        <v>0</v>
      </c>
    </row>
    <row r="25" spans="1:75" x14ac:dyDescent="0.25">
      <c r="A25" s="185" t="s">
        <v>178</v>
      </c>
      <c r="B25" s="230"/>
      <c r="C25" s="230"/>
      <c r="D25" s="231">
        <v>0.2828</v>
      </c>
      <c r="E25" s="231"/>
      <c r="F25" s="231"/>
      <c r="G25" s="231"/>
      <c r="H25" s="230">
        <v>0.06</v>
      </c>
      <c r="J25" s="230"/>
      <c r="K25" s="230"/>
      <c r="L25" s="231">
        <v>0.2828</v>
      </c>
      <c r="M25" s="231"/>
      <c r="N25" s="231"/>
      <c r="O25" s="231"/>
      <c r="P25" s="230">
        <f>L25</f>
        <v>0.2828</v>
      </c>
      <c r="R25" s="230"/>
      <c r="S25" s="230"/>
      <c r="T25" s="231">
        <v>0.2828</v>
      </c>
      <c r="U25" s="231"/>
      <c r="V25" s="231"/>
      <c r="W25" s="231"/>
      <c r="X25" s="230">
        <f>T25</f>
        <v>0.2828</v>
      </c>
      <c r="Z25" s="230"/>
      <c r="AA25" s="230"/>
      <c r="AB25" s="231">
        <v>0.2455</v>
      </c>
      <c r="AC25" s="231"/>
      <c r="AD25" s="231"/>
      <c r="AE25" s="231"/>
      <c r="AF25" s="230">
        <f>AB25</f>
        <v>0.2455</v>
      </c>
      <c r="AH25" s="230"/>
      <c r="AI25" s="230"/>
      <c r="AJ25" s="231">
        <v>0.1958</v>
      </c>
      <c r="AK25" s="231"/>
      <c r="AL25" s="231"/>
      <c r="AM25" s="231"/>
      <c r="AN25" s="230">
        <f>AJ25</f>
        <v>0.1958</v>
      </c>
      <c r="AP25" s="230"/>
      <c r="AQ25" s="230"/>
      <c r="AR25" s="231">
        <v>1</v>
      </c>
      <c r="AS25" s="231"/>
      <c r="AT25" s="231"/>
      <c r="AU25" s="231"/>
      <c r="AV25" s="230">
        <f>AR25</f>
        <v>1</v>
      </c>
      <c r="AX25" s="230"/>
      <c r="AY25" s="230"/>
      <c r="AZ25" s="231">
        <v>0.37409999999999999</v>
      </c>
      <c r="BA25" s="231"/>
      <c r="BB25" s="231"/>
      <c r="BC25" s="231"/>
      <c r="BD25" s="230">
        <f>AZ25</f>
        <v>0.37409999999999999</v>
      </c>
      <c r="BF25" s="230"/>
      <c r="BG25" s="230"/>
      <c r="BH25" s="231"/>
      <c r="BI25" s="231"/>
      <c r="BJ25" s="231"/>
      <c r="BK25" s="231"/>
      <c r="BL25" s="230"/>
      <c r="BN25" s="229">
        <f t="shared" si="3"/>
        <v>0</v>
      </c>
      <c r="BO25" s="229">
        <f t="shared" si="4"/>
        <v>0</v>
      </c>
      <c r="BP25" s="229"/>
      <c r="BQ25" s="229">
        <f t="shared" si="6"/>
        <v>0</v>
      </c>
      <c r="BR25" s="229">
        <f t="shared" si="7"/>
        <v>0</v>
      </c>
      <c r="BS25" s="229">
        <f t="shared" si="8"/>
        <v>0</v>
      </c>
      <c r="BT25" s="230"/>
      <c r="BV25" s="230">
        <v>0</v>
      </c>
      <c r="BW25" s="286">
        <f t="shared" si="9"/>
        <v>0</v>
      </c>
    </row>
    <row r="26" spans="1:75" x14ac:dyDescent="0.25">
      <c r="A26" s="189" t="s">
        <v>179</v>
      </c>
      <c r="B26" s="228" t="s">
        <v>309</v>
      </c>
      <c r="C26" s="228" t="s">
        <v>310</v>
      </c>
      <c r="D26" s="228" t="s">
        <v>311</v>
      </c>
      <c r="E26" s="228" t="str">
        <f>E20</f>
        <v>Other</v>
      </c>
      <c r="F26" s="228" t="s">
        <v>313</v>
      </c>
      <c r="G26" s="228" t="s">
        <v>314</v>
      </c>
      <c r="H26" s="228" t="s">
        <v>320</v>
      </c>
      <c r="J26" s="228" t="s">
        <v>309</v>
      </c>
      <c r="K26" s="228" t="s">
        <v>310</v>
      </c>
      <c r="L26" s="228" t="s">
        <v>311</v>
      </c>
      <c r="M26" s="228" t="str">
        <f>M20</f>
        <v>Other</v>
      </c>
      <c r="N26" s="228" t="s">
        <v>313</v>
      </c>
      <c r="O26" s="228" t="s">
        <v>314</v>
      </c>
      <c r="P26" s="228" t="str">
        <f>P20</f>
        <v>Cadence</v>
      </c>
      <c r="R26" s="228" t="s">
        <v>309</v>
      </c>
      <c r="S26" s="228" t="s">
        <v>310</v>
      </c>
      <c r="T26" s="228" t="s">
        <v>311</v>
      </c>
      <c r="U26" s="228" t="str">
        <f>U20</f>
        <v>Other</v>
      </c>
      <c r="V26" s="228" t="s">
        <v>313</v>
      </c>
      <c r="W26" s="228" t="s">
        <v>314</v>
      </c>
      <c r="X26" s="228" t="str">
        <f>X20</f>
        <v>St. Rose</v>
      </c>
      <c r="Z26" s="228" t="s">
        <v>309</v>
      </c>
      <c r="AA26" s="228" t="s">
        <v>310</v>
      </c>
      <c r="AB26" s="228" t="s">
        <v>311</v>
      </c>
      <c r="AC26" s="228" t="str">
        <f>AC20</f>
        <v>Other</v>
      </c>
      <c r="AD26" s="228" t="s">
        <v>313</v>
      </c>
      <c r="AE26" s="228" t="s">
        <v>314</v>
      </c>
      <c r="AF26" s="228" t="str">
        <f>AF20</f>
        <v>Inspirada</v>
      </c>
      <c r="AH26" s="228" t="s">
        <v>309</v>
      </c>
      <c r="AI26" s="228" t="s">
        <v>310</v>
      </c>
      <c r="AJ26" s="228" t="s">
        <v>311</v>
      </c>
      <c r="AK26" s="228" t="str">
        <f>AK20</f>
        <v>Other</v>
      </c>
      <c r="AL26" s="228" t="s">
        <v>313</v>
      </c>
      <c r="AM26" s="228" t="s">
        <v>314</v>
      </c>
      <c r="AN26" s="228" t="str">
        <f>AN20</f>
        <v>Sloan</v>
      </c>
      <c r="AP26" s="228" t="s">
        <v>309</v>
      </c>
      <c r="AQ26" s="228" t="s">
        <v>310</v>
      </c>
      <c r="AR26" s="228" t="s">
        <v>311</v>
      </c>
      <c r="AS26" s="228" t="str">
        <f>AS20</f>
        <v>Other</v>
      </c>
      <c r="AT26" s="228" t="s">
        <v>313</v>
      </c>
      <c r="AU26" s="228" t="s">
        <v>314</v>
      </c>
      <c r="AV26" s="228" t="str">
        <f>AV20</f>
        <v>Springs</v>
      </c>
      <c r="AX26" s="228" t="s">
        <v>309</v>
      </c>
      <c r="AY26" s="228" t="s">
        <v>310</v>
      </c>
      <c r="AZ26" s="228" t="s">
        <v>311</v>
      </c>
      <c r="BA26" s="228" t="str">
        <f>BA20</f>
        <v>Other</v>
      </c>
      <c r="BB26" s="228" t="s">
        <v>313</v>
      </c>
      <c r="BC26" s="228" t="s">
        <v>314</v>
      </c>
      <c r="BD26" s="228" t="str">
        <f>BD20</f>
        <v>Virtual</v>
      </c>
      <c r="BF26" s="228" t="s">
        <v>309</v>
      </c>
      <c r="BG26" s="228" t="s">
        <v>310</v>
      </c>
      <c r="BH26" s="228" t="s">
        <v>311</v>
      </c>
      <c r="BI26" s="228" t="str">
        <f>BI20</f>
        <v>Other</v>
      </c>
      <c r="BJ26" s="228" t="s">
        <v>313</v>
      </c>
      <c r="BK26" s="228" t="s">
        <v>314</v>
      </c>
      <c r="BL26" s="228" t="str">
        <f>BL20</f>
        <v>Central</v>
      </c>
      <c r="BN26" s="228" t="s">
        <v>309</v>
      </c>
      <c r="BO26" s="228" t="s">
        <v>310</v>
      </c>
      <c r="BP26" s="228" t="s">
        <v>311</v>
      </c>
      <c r="BQ26" s="228" t="str">
        <f>BQ20</f>
        <v>Other</v>
      </c>
      <c r="BR26" s="228" t="s">
        <v>313</v>
      </c>
      <c r="BS26" s="228" t="s">
        <v>314</v>
      </c>
      <c r="BT26" s="228" t="str">
        <f>BT20</f>
        <v>System</v>
      </c>
      <c r="BV26" s="228" t="s">
        <v>320</v>
      </c>
      <c r="BW26" s="286" t="e">
        <f t="shared" si="9"/>
        <v>#VALUE!</v>
      </c>
    </row>
    <row r="27" spans="1:75" x14ac:dyDescent="0.25">
      <c r="A27" s="190" t="s">
        <v>180</v>
      </c>
      <c r="B27" s="232">
        <v>35</v>
      </c>
      <c r="C27" s="232"/>
      <c r="D27" s="232"/>
      <c r="E27" s="232"/>
      <c r="F27" s="232"/>
      <c r="G27" s="232"/>
      <c r="H27" s="232">
        <f t="shared" ref="H27:H35" si="10">SUM(B27:G27)</f>
        <v>35</v>
      </c>
      <c r="J27" s="232">
        <v>84</v>
      </c>
      <c r="K27" s="232"/>
      <c r="L27" s="232"/>
      <c r="M27" s="232"/>
      <c r="N27" s="232"/>
      <c r="O27" s="232"/>
      <c r="P27" s="232">
        <f t="shared" ref="P27:P35" si="11">SUM(J27:O27)</f>
        <v>84</v>
      </c>
      <c r="R27" s="232">
        <v>36</v>
      </c>
      <c r="S27" s="232"/>
      <c r="T27" s="232"/>
      <c r="U27" s="232"/>
      <c r="V27" s="232"/>
      <c r="W27" s="232"/>
      <c r="X27" s="232">
        <f t="shared" ref="X27:X35" si="12">SUM(R27:W27)</f>
        <v>36</v>
      </c>
      <c r="Z27" s="232">
        <v>46</v>
      </c>
      <c r="AA27" s="232"/>
      <c r="AB27" s="232"/>
      <c r="AC27" s="232"/>
      <c r="AD27" s="232"/>
      <c r="AE27" s="232"/>
      <c r="AF27" s="232">
        <f t="shared" ref="AF27:AF35" si="13">SUM(Z27:AE27)</f>
        <v>46</v>
      </c>
      <c r="AH27" s="232">
        <f>81+3</f>
        <v>84</v>
      </c>
      <c r="AI27" s="232"/>
      <c r="AJ27" s="232"/>
      <c r="AK27" s="232"/>
      <c r="AL27" s="232"/>
      <c r="AM27" s="232"/>
      <c r="AN27" s="232">
        <f t="shared" ref="AN27:AN35" si="14">SUM(AH27:AM27)</f>
        <v>84</v>
      </c>
      <c r="AP27" s="232">
        <v>15</v>
      </c>
      <c r="AQ27" s="232"/>
      <c r="AR27" s="232"/>
      <c r="AS27" s="232"/>
      <c r="AT27" s="232"/>
      <c r="AU27" s="232"/>
      <c r="AV27" s="232">
        <f t="shared" ref="AV27:AV35" si="15">SUM(AP27:AU27)</f>
        <v>15</v>
      </c>
      <c r="AX27" s="232">
        <v>0</v>
      </c>
      <c r="AY27" s="232"/>
      <c r="AZ27" s="232"/>
      <c r="BA27" s="232"/>
      <c r="BB27" s="232"/>
      <c r="BC27" s="232"/>
      <c r="BD27" s="232">
        <f t="shared" ref="BD27:BD35" si="16">SUM(AX27:BC27)</f>
        <v>0</v>
      </c>
      <c r="BF27" s="232"/>
      <c r="BG27" s="232"/>
      <c r="BH27" s="232"/>
      <c r="BI27" s="232"/>
      <c r="BJ27" s="232"/>
      <c r="BK27" s="232"/>
      <c r="BL27" s="232">
        <f t="shared" ref="BL27:BL35" si="17">SUM(BF27:BK27)</f>
        <v>0</v>
      </c>
      <c r="BN27" s="229">
        <f>B27+J27+R27+Z27+AH27+AP27+AX27+BF27</f>
        <v>300</v>
      </c>
      <c r="BO27" s="229">
        <f t="shared" ref="BO27:BS27" si="18">C27+K27+S27+AA27+AI27+AQ27+AY27+BG27</f>
        <v>0</v>
      </c>
      <c r="BP27" s="229">
        <f t="shared" si="18"/>
        <v>0</v>
      </c>
      <c r="BQ27" s="229">
        <f t="shared" si="18"/>
        <v>0</v>
      </c>
      <c r="BR27" s="229">
        <f t="shared" si="18"/>
        <v>0</v>
      </c>
      <c r="BS27" s="229">
        <f t="shared" si="18"/>
        <v>0</v>
      </c>
      <c r="BT27" s="232">
        <f t="shared" ref="BT27:BT35" si="19">SUM(BN27:BS27)</f>
        <v>300</v>
      </c>
      <c r="BV27" s="232">
        <v>300</v>
      </c>
      <c r="BW27" s="286">
        <f t="shared" si="9"/>
        <v>0</v>
      </c>
    </row>
    <row r="28" spans="1:75" x14ac:dyDescent="0.25">
      <c r="A28" s="190" t="s">
        <v>181</v>
      </c>
      <c r="B28" s="233">
        <v>0</v>
      </c>
      <c r="C28" s="233">
        <v>5</v>
      </c>
      <c r="D28" s="233"/>
      <c r="E28" s="233"/>
      <c r="F28" s="233"/>
      <c r="G28" s="233"/>
      <c r="H28" s="232">
        <f t="shared" si="10"/>
        <v>5</v>
      </c>
      <c r="J28" s="233"/>
      <c r="K28" s="233">
        <v>13</v>
      </c>
      <c r="L28" s="233"/>
      <c r="M28" s="233"/>
      <c r="N28" s="233"/>
      <c r="O28" s="233"/>
      <c r="P28" s="232">
        <f t="shared" si="11"/>
        <v>13</v>
      </c>
      <c r="R28" s="233">
        <v>0</v>
      </c>
      <c r="S28" s="233">
        <v>4</v>
      </c>
      <c r="T28" s="233"/>
      <c r="U28" s="233"/>
      <c r="V28" s="233"/>
      <c r="W28" s="233"/>
      <c r="X28" s="232">
        <f t="shared" si="12"/>
        <v>4</v>
      </c>
      <c r="Z28" s="233">
        <v>0</v>
      </c>
      <c r="AA28" s="233">
        <v>5</v>
      </c>
      <c r="AB28" s="233"/>
      <c r="AC28" s="233"/>
      <c r="AD28" s="233"/>
      <c r="AE28" s="233"/>
      <c r="AF28" s="232">
        <f t="shared" si="13"/>
        <v>5</v>
      </c>
      <c r="AH28" s="233">
        <v>0</v>
      </c>
      <c r="AI28" s="233">
        <v>12</v>
      </c>
      <c r="AJ28" s="233"/>
      <c r="AK28" s="233"/>
      <c r="AL28" s="233"/>
      <c r="AM28" s="233"/>
      <c r="AN28" s="232">
        <f t="shared" si="14"/>
        <v>12</v>
      </c>
      <c r="AP28" s="233">
        <v>0</v>
      </c>
      <c r="AQ28" s="233">
        <v>1</v>
      </c>
      <c r="AR28" s="233"/>
      <c r="AS28" s="233"/>
      <c r="AT28" s="233"/>
      <c r="AU28" s="233"/>
      <c r="AV28" s="232">
        <f t="shared" si="15"/>
        <v>1</v>
      </c>
      <c r="AX28" s="233">
        <v>0</v>
      </c>
      <c r="AY28" s="233">
        <v>1</v>
      </c>
      <c r="AZ28" s="233"/>
      <c r="BA28" s="233"/>
      <c r="BB28" s="233"/>
      <c r="BC28" s="233"/>
      <c r="BD28" s="232">
        <f t="shared" si="16"/>
        <v>1</v>
      </c>
      <c r="BF28" s="233"/>
      <c r="BG28" s="233"/>
      <c r="BH28" s="233"/>
      <c r="BI28" s="233"/>
      <c r="BJ28" s="233"/>
      <c r="BK28" s="233"/>
      <c r="BL28" s="232">
        <f t="shared" si="17"/>
        <v>0</v>
      </c>
      <c r="BN28" s="229">
        <f t="shared" ref="BN28:BN35" si="20">B28+J28+R28+Z28+AH28+AP28+AX28+BF28</f>
        <v>0</v>
      </c>
      <c r="BO28" s="229">
        <f t="shared" ref="BO28:BO35" si="21">C28+K28+S28+AA28+AI28+AQ28+AY28+BG28</f>
        <v>41</v>
      </c>
      <c r="BP28" s="229">
        <f t="shared" ref="BP28:BP35" si="22">D28+L28+T28+AB28+AJ28+AR28+AZ28+BH28</f>
        <v>0</v>
      </c>
      <c r="BQ28" s="229">
        <f t="shared" ref="BQ28:BQ35" si="23">E28+M28+U28+AC28+AK28+AS28+BA28+BI28</f>
        <v>0</v>
      </c>
      <c r="BR28" s="229">
        <f t="shared" ref="BR28:BR35" si="24">F28+N28+V28+AD28+AL28+AT28+BB28+BJ28</f>
        <v>0</v>
      </c>
      <c r="BS28" s="229">
        <f t="shared" ref="BS28:BS35" si="25">G28+O28+W28+AE28+AM28+AU28+BC28+BK28</f>
        <v>0</v>
      </c>
      <c r="BT28" s="232">
        <f t="shared" si="19"/>
        <v>41</v>
      </c>
      <c r="BV28" s="232">
        <v>41</v>
      </c>
      <c r="BW28" s="286">
        <f t="shared" si="9"/>
        <v>0</v>
      </c>
    </row>
    <row r="29" spans="1:75" x14ac:dyDescent="0.25">
      <c r="A29" s="190" t="s">
        <v>182</v>
      </c>
      <c r="B29" s="232">
        <v>1</v>
      </c>
      <c r="C29" s="232"/>
      <c r="D29" s="232"/>
      <c r="E29" s="232"/>
      <c r="F29" s="232"/>
      <c r="G29" s="232"/>
      <c r="H29" s="232">
        <f t="shared" si="10"/>
        <v>1</v>
      </c>
      <c r="J29" s="232">
        <v>2</v>
      </c>
      <c r="K29" s="232"/>
      <c r="L29" s="232"/>
      <c r="M29" s="232"/>
      <c r="N29" s="232"/>
      <c r="O29" s="232"/>
      <c r="P29" s="232">
        <f t="shared" si="11"/>
        <v>2</v>
      </c>
      <c r="R29" s="232">
        <v>1</v>
      </c>
      <c r="S29" s="232"/>
      <c r="T29" s="232"/>
      <c r="U29" s="232"/>
      <c r="V29" s="232"/>
      <c r="W29" s="232"/>
      <c r="X29" s="232">
        <f t="shared" si="12"/>
        <v>1</v>
      </c>
      <c r="Z29" s="232">
        <v>1</v>
      </c>
      <c r="AA29" s="232"/>
      <c r="AB29" s="232"/>
      <c r="AC29" s="232"/>
      <c r="AD29" s="232"/>
      <c r="AE29" s="232"/>
      <c r="AF29" s="232">
        <f t="shared" si="13"/>
        <v>1</v>
      </c>
      <c r="AH29" s="232">
        <v>2</v>
      </c>
      <c r="AI29" s="232"/>
      <c r="AJ29" s="232"/>
      <c r="AK29" s="232"/>
      <c r="AL29" s="232"/>
      <c r="AM29" s="232"/>
      <c r="AN29" s="232">
        <f t="shared" si="14"/>
        <v>2</v>
      </c>
      <c r="AP29" s="232">
        <v>1</v>
      </c>
      <c r="AQ29" s="232"/>
      <c r="AR29" s="232"/>
      <c r="AS29" s="232"/>
      <c r="AT29" s="232"/>
      <c r="AU29" s="232"/>
      <c r="AV29" s="232">
        <f t="shared" si="15"/>
        <v>1</v>
      </c>
      <c r="AX29" s="232">
        <v>0</v>
      </c>
      <c r="AY29" s="232"/>
      <c r="AZ29" s="232"/>
      <c r="BA29" s="232"/>
      <c r="BB29" s="232"/>
      <c r="BC29" s="232"/>
      <c r="BD29" s="232">
        <f t="shared" si="16"/>
        <v>0</v>
      </c>
      <c r="BF29" s="232"/>
      <c r="BG29" s="232"/>
      <c r="BH29" s="232"/>
      <c r="BI29" s="232"/>
      <c r="BJ29" s="232"/>
      <c r="BK29" s="232"/>
      <c r="BL29" s="232">
        <f t="shared" si="17"/>
        <v>0</v>
      </c>
      <c r="BN29" s="229">
        <f t="shared" si="20"/>
        <v>8</v>
      </c>
      <c r="BO29" s="229">
        <f t="shared" si="21"/>
        <v>0</v>
      </c>
      <c r="BP29" s="229">
        <f t="shared" si="22"/>
        <v>0</v>
      </c>
      <c r="BQ29" s="229">
        <f t="shared" si="23"/>
        <v>0</v>
      </c>
      <c r="BR29" s="229">
        <f t="shared" si="24"/>
        <v>0</v>
      </c>
      <c r="BS29" s="229">
        <f t="shared" si="25"/>
        <v>0</v>
      </c>
      <c r="BT29" s="232">
        <f t="shared" si="19"/>
        <v>8</v>
      </c>
      <c r="BV29" s="232">
        <v>7</v>
      </c>
      <c r="BW29" s="286">
        <f t="shared" si="9"/>
        <v>1</v>
      </c>
    </row>
    <row r="30" spans="1:75" x14ac:dyDescent="0.25">
      <c r="A30" s="190" t="s">
        <v>183</v>
      </c>
      <c r="B30" s="232">
        <v>1</v>
      </c>
      <c r="C30" s="232"/>
      <c r="D30" s="232"/>
      <c r="E30" s="232"/>
      <c r="F30" s="232"/>
      <c r="G30" s="232"/>
      <c r="H30" s="232">
        <f t="shared" si="10"/>
        <v>1</v>
      </c>
      <c r="J30" s="232">
        <v>2</v>
      </c>
      <c r="K30" s="232"/>
      <c r="L30" s="232"/>
      <c r="M30" s="232"/>
      <c r="N30" s="232"/>
      <c r="O30" s="232"/>
      <c r="P30" s="232">
        <f t="shared" si="11"/>
        <v>2</v>
      </c>
      <c r="R30" s="232">
        <v>1</v>
      </c>
      <c r="S30" s="232"/>
      <c r="T30" s="232"/>
      <c r="U30" s="232"/>
      <c r="V30" s="232"/>
      <c r="W30" s="232"/>
      <c r="X30" s="232">
        <f t="shared" si="12"/>
        <v>1</v>
      </c>
      <c r="Z30" s="232">
        <v>1</v>
      </c>
      <c r="AA30" s="232"/>
      <c r="AB30" s="232"/>
      <c r="AC30" s="232"/>
      <c r="AD30" s="232"/>
      <c r="AE30" s="232"/>
      <c r="AF30" s="232">
        <f t="shared" si="13"/>
        <v>1</v>
      </c>
      <c r="AH30" s="232">
        <v>3</v>
      </c>
      <c r="AI30" s="232"/>
      <c r="AJ30" s="232"/>
      <c r="AK30" s="232"/>
      <c r="AL30" s="232"/>
      <c r="AM30" s="232"/>
      <c r="AN30" s="232">
        <f t="shared" si="14"/>
        <v>3</v>
      </c>
      <c r="AP30" s="232">
        <v>0</v>
      </c>
      <c r="AQ30" s="232"/>
      <c r="AR30" s="232"/>
      <c r="AS30" s="232"/>
      <c r="AT30" s="232"/>
      <c r="AU30" s="232"/>
      <c r="AV30" s="232">
        <f t="shared" si="15"/>
        <v>0</v>
      </c>
      <c r="AX30" s="232">
        <v>0</v>
      </c>
      <c r="AY30" s="232"/>
      <c r="AZ30" s="232"/>
      <c r="BA30" s="232"/>
      <c r="BB30" s="232"/>
      <c r="BC30" s="232"/>
      <c r="BD30" s="232">
        <f t="shared" si="16"/>
        <v>0</v>
      </c>
      <c r="BF30" s="232">
        <v>1</v>
      </c>
      <c r="BG30" s="232"/>
      <c r="BH30" s="232"/>
      <c r="BI30" s="232"/>
      <c r="BJ30" s="232"/>
      <c r="BK30" s="232"/>
      <c r="BL30" s="232">
        <f t="shared" si="17"/>
        <v>1</v>
      </c>
      <c r="BN30" s="229">
        <f t="shared" si="20"/>
        <v>9</v>
      </c>
      <c r="BO30" s="229">
        <f t="shared" si="21"/>
        <v>0</v>
      </c>
      <c r="BP30" s="229">
        <f t="shared" si="22"/>
        <v>0</v>
      </c>
      <c r="BQ30" s="229">
        <f t="shared" si="23"/>
        <v>0</v>
      </c>
      <c r="BR30" s="229">
        <f t="shared" si="24"/>
        <v>0</v>
      </c>
      <c r="BS30" s="229">
        <f t="shared" si="25"/>
        <v>0</v>
      </c>
      <c r="BT30" s="232">
        <f t="shared" si="19"/>
        <v>9</v>
      </c>
      <c r="BV30" s="232">
        <v>9</v>
      </c>
      <c r="BW30" s="286">
        <f t="shared" si="9"/>
        <v>0</v>
      </c>
    </row>
    <row r="31" spans="1:75" x14ac:dyDescent="0.25">
      <c r="A31" s="190" t="s">
        <v>184</v>
      </c>
      <c r="B31" s="232">
        <v>1</v>
      </c>
      <c r="C31" s="232"/>
      <c r="D31" s="232"/>
      <c r="E31" s="232"/>
      <c r="F31" s="232"/>
      <c r="G31" s="232"/>
      <c r="H31" s="232">
        <f t="shared" si="10"/>
        <v>1</v>
      </c>
      <c r="J31" s="232">
        <v>3</v>
      </c>
      <c r="K31" s="232"/>
      <c r="L31" s="232"/>
      <c r="M31" s="232"/>
      <c r="N31" s="232"/>
      <c r="O31" s="232"/>
      <c r="P31" s="232">
        <f t="shared" si="11"/>
        <v>3</v>
      </c>
      <c r="R31" s="232">
        <v>1</v>
      </c>
      <c r="S31" s="232"/>
      <c r="T31" s="232"/>
      <c r="U31" s="232"/>
      <c r="V31" s="232"/>
      <c r="W31" s="232"/>
      <c r="X31" s="232">
        <f t="shared" si="12"/>
        <v>1</v>
      </c>
      <c r="Z31" s="232">
        <v>1</v>
      </c>
      <c r="AA31" s="232"/>
      <c r="AB31" s="232"/>
      <c r="AC31" s="232"/>
      <c r="AD31" s="232"/>
      <c r="AE31" s="232"/>
      <c r="AF31" s="232">
        <f t="shared" si="13"/>
        <v>1</v>
      </c>
      <c r="AH31" s="232">
        <v>3</v>
      </c>
      <c r="AI31" s="232"/>
      <c r="AJ31" s="232"/>
      <c r="AK31" s="232"/>
      <c r="AL31" s="232"/>
      <c r="AM31" s="232"/>
      <c r="AN31" s="232">
        <f t="shared" si="14"/>
        <v>3</v>
      </c>
      <c r="AP31" s="232">
        <v>1</v>
      </c>
      <c r="AQ31" s="232"/>
      <c r="AR31" s="232"/>
      <c r="AS31" s="232"/>
      <c r="AT31" s="232"/>
      <c r="AU31" s="232"/>
      <c r="AV31" s="232">
        <f t="shared" si="15"/>
        <v>1</v>
      </c>
      <c r="AX31" s="232">
        <v>0</v>
      </c>
      <c r="AY31" s="232"/>
      <c r="AZ31" s="232"/>
      <c r="BA31" s="232"/>
      <c r="BB31" s="232"/>
      <c r="BC31" s="232"/>
      <c r="BD31" s="232">
        <f t="shared" si="16"/>
        <v>0</v>
      </c>
      <c r="BF31" s="232"/>
      <c r="BG31" s="232"/>
      <c r="BH31" s="232"/>
      <c r="BI31" s="232"/>
      <c r="BJ31" s="232"/>
      <c r="BK31" s="232"/>
      <c r="BL31" s="232">
        <f t="shared" si="17"/>
        <v>0</v>
      </c>
      <c r="BN31" s="229">
        <f t="shared" si="20"/>
        <v>10</v>
      </c>
      <c r="BO31" s="229">
        <f t="shared" si="21"/>
        <v>0</v>
      </c>
      <c r="BP31" s="229">
        <f t="shared" si="22"/>
        <v>0</v>
      </c>
      <c r="BQ31" s="229">
        <f t="shared" si="23"/>
        <v>0</v>
      </c>
      <c r="BR31" s="229">
        <f t="shared" si="24"/>
        <v>0</v>
      </c>
      <c r="BS31" s="229">
        <f t="shared" si="25"/>
        <v>0</v>
      </c>
      <c r="BT31" s="232">
        <f t="shared" si="19"/>
        <v>10</v>
      </c>
      <c r="BV31" s="232">
        <v>10</v>
      </c>
      <c r="BW31" s="286">
        <f t="shared" si="9"/>
        <v>0</v>
      </c>
    </row>
    <row r="32" spans="1:75" x14ac:dyDescent="0.25">
      <c r="A32" s="191" t="s">
        <v>185</v>
      </c>
      <c r="B32" s="232">
        <v>1</v>
      </c>
      <c r="C32" s="232"/>
      <c r="D32" s="232"/>
      <c r="E32" s="232"/>
      <c r="F32" s="232"/>
      <c r="G32" s="232"/>
      <c r="H32" s="232">
        <f t="shared" si="10"/>
        <v>1</v>
      </c>
      <c r="J32" s="232">
        <v>3</v>
      </c>
      <c r="K32" s="232"/>
      <c r="L32" s="232"/>
      <c r="M32" s="232"/>
      <c r="N32" s="232"/>
      <c r="O32" s="232"/>
      <c r="P32" s="232">
        <f t="shared" si="11"/>
        <v>3</v>
      </c>
      <c r="R32" s="232">
        <v>1</v>
      </c>
      <c r="S32" s="232"/>
      <c r="T32" s="232"/>
      <c r="U32" s="232"/>
      <c r="V32" s="232"/>
      <c r="W32" s="232"/>
      <c r="X32" s="232">
        <f t="shared" si="12"/>
        <v>1</v>
      </c>
      <c r="Z32" s="232">
        <v>1</v>
      </c>
      <c r="AA32" s="232"/>
      <c r="AB32" s="232"/>
      <c r="AC32" s="232"/>
      <c r="AD32" s="232"/>
      <c r="AE32" s="232"/>
      <c r="AF32" s="232">
        <f t="shared" si="13"/>
        <v>1</v>
      </c>
      <c r="AH32" s="232">
        <v>2</v>
      </c>
      <c r="AI32" s="232"/>
      <c r="AJ32" s="232"/>
      <c r="AK32" s="232"/>
      <c r="AL32" s="232"/>
      <c r="AM32" s="232"/>
      <c r="AN32" s="232">
        <f t="shared" si="14"/>
        <v>2</v>
      </c>
      <c r="AP32" s="232">
        <v>1</v>
      </c>
      <c r="AQ32" s="232"/>
      <c r="AR32" s="232"/>
      <c r="AS32" s="232"/>
      <c r="AT32" s="232"/>
      <c r="AU32" s="232"/>
      <c r="AV32" s="232">
        <f t="shared" si="15"/>
        <v>1</v>
      </c>
      <c r="AX32" s="232">
        <v>0</v>
      </c>
      <c r="AY32" s="232"/>
      <c r="AZ32" s="232"/>
      <c r="BA32" s="232"/>
      <c r="BB32" s="232"/>
      <c r="BC32" s="232"/>
      <c r="BD32" s="232">
        <f t="shared" si="16"/>
        <v>0</v>
      </c>
      <c r="BF32" s="232"/>
      <c r="BG32" s="232"/>
      <c r="BH32" s="232"/>
      <c r="BI32" s="232"/>
      <c r="BJ32" s="232"/>
      <c r="BK32" s="232"/>
      <c r="BL32" s="232">
        <f t="shared" si="17"/>
        <v>0</v>
      </c>
      <c r="BN32" s="229">
        <f t="shared" si="20"/>
        <v>9</v>
      </c>
      <c r="BO32" s="229">
        <f t="shared" si="21"/>
        <v>0</v>
      </c>
      <c r="BP32" s="229">
        <f t="shared" si="22"/>
        <v>0</v>
      </c>
      <c r="BQ32" s="229">
        <f t="shared" si="23"/>
        <v>0</v>
      </c>
      <c r="BR32" s="229">
        <f t="shared" si="24"/>
        <v>0</v>
      </c>
      <c r="BS32" s="229">
        <f t="shared" si="25"/>
        <v>0</v>
      </c>
      <c r="BT32" s="232">
        <f t="shared" si="19"/>
        <v>9</v>
      </c>
      <c r="BV32" s="232">
        <v>9</v>
      </c>
      <c r="BW32" s="286">
        <f t="shared" si="9"/>
        <v>0</v>
      </c>
    </row>
    <row r="33" spans="1:75" x14ac:dyDescent="0.25">
      <c r="A33" s="191" t="s">
        <v>186</v>
      </c>
      <c r="B33" s="232">
        <v>1</v>
      </c>
      <c r="C33" s="232"/>
      <c r="D33" s="232"/>
      <c r="E33" s="232"/>
      <c r="F33" s="232"/>
      <c r="G33" s="232"/>
      <c r="H33" s="232">
        <f t="shared" si="10"/>
        <v>1</v>
      </c>
      <c r="J33" s="232">
        <v>2</v>
      </c>
      <c r="K33" s="232"/>
      <c r="L33" s="232"/>
      <c r="M33" s="232"/>
      <c r="N33" s="232"/>
      <c r="O33" s="232"/>
      <c r="P33" s="232">
        <f t="shared" si="11"/>
        <v>2</v>
      </c>
      <c r="R33" s="232">
        <v>1</v>
      </c>
      <c r="S33" s="232"/>
      <c r="T33" s="232"/>
      <c r="U33" s="232"/>
      <c r="V33" s="232"/>
      <c r="W33" s="232"/>
      <c r="X33" s="232">
        <f t="shared" si="12"/>
        <v>1</v>
      </c>
      <c r="Z33" s="232">
        <v>1</v>
      </c>
      <c r="AA33" s="232"/>
      <c r="AB33" s="232"/>
      <c r="AC33" s="232"/>
      <c r="AD33" s="232"/>
      <c r="AE33" s="232"/>
      <c r="AF33" s="232">
        <f t="shared" si="13"/>
        <v>1</v>
      </c>
      <c r="AH33" s="232">
        <v>2</v>
      </c>
      <c r="AI33" s="232"/>
      <c r="AJ33" s="232"/>
      <c r="AK33" s="232"/>
      <c r="AL33" s="232"/>
      <c r="AM33" s="232"/>
      <c r="AN33" s="232">
        <f t="shared" si="14"/>
        <v>2</v>
      </c>
      <c r="AP33" s="232">
        <v>0</v>
      </c>
      <c r="AQ33" s="232"/>
      <c r="AR33" s="232"/>
      <c r="AS33" s="232"/>
      <c r="AT33" s="232"/>
      <c r="AU33" s="232"/>
      <c r="AV33" s="232">
        <f t="shared" si="15"/>
        <v>0</v>
      </c>
      <c r="AX33" s="232">
        <v>0</v>
      </c>
      <c r="AY33" s="232"/>
      <c r="AZ33" s="232"/>
      <c r="BA33" s="232"/>
      <c r="BB33" s="232"/>
      <c r="BC33" s="232"/>
      <c r="BD33" s="232">
        <f t="shared" si="16"/>
        <v>0</v>
      </c>
      <c r="BF33" s="232"/>
      <c r="BG33" s="232"/>
      <c r="BH33" s="232"/>
      <c r="BI33" s="232"/>
      <c r="BJ33" s="232"/>
      <c r="BK33" s="232"/>
      <c r="BL33" s="232">
        <f t="shared" si="17"/>
        <v>0</v>
      </c>
      <c r="BN33" s="229">
        <f t="shared" si="20"/>
        <v>7</v>
      </c>
      <c r="BO33" s="229">
        <f t="shared" si="21"/>
        <v>0</v>
      </c>
      <c r="BP33" s="229">
        <f t="shared" si="22"/>
        <v>0</v>
      </c>
      <c r="BQ33" s="229">
        <f t="shared" si="23"/>
        <v>0</v>
      </c>
      <c r="BR33" s="229">
        <f t="shared" si="24"/>
        <v>0</v>
      </c>
      <c r="BS33" s="229">
        <f t="shared" si="25"/>
        <v>0</v>
      </c>
      <c r="BT33" s="232">
        <f t="shared" si="19"/>
        <v>7</v>
      </c>
      <c r="BV33" s="232">
        <v>7</v>
      </c>
      <c r="BW33" s="286">
        <f t="shared" si="9"/>
        <v>0</v>
      </c>
    </row>
    <row r="34" spans="1:75" x14ac:dyDescent="0.25">
      <c r="A34" s="191" t="s">
        <v>187</v>
      </c>
      <c r="B34" s="232">
        <v>1</v>
      </c>
      <c r="C34" s="232"/>
      <c r="D34" s="232"/>
      <c r="E34" s="232"/>
      <c r="F34" s="232"/>
      <c r="G34" s="232"/>
      <c r="H34" s="232">
        <f t="shared" si="10"/>
        <v>1</v>
      </c>
      <c r="J34" s="232">
        <v>3</v>
      </c>
      <c r="K34" s="232"/>
      <c r="L34" s="232"/>
      <c r="M34" s="232"/>
      <c r="N34" s="232"/>
      <c r="O34" s="232"/>
      <c r="P34" s="232">
        <f t="shared" si="11"/>
        <v>3</v>
      </c>
      <c r="R34" s="232">
        <v>2</v>
      </c>
      <c r="S34" s="232"/>
      <c r="T34" s="232"/>
      <c r="U34" s="232"/>
      <c r="V34" s="232"/>
      <c r="W34" s="232"/>
      <c r="X34" s="232">
        <f t="shared" si="12"/>
        <v>2</v>
      </c>
      <c r="Z34" s="232">
        <v>3</v>
      </c>
      <c r="AA34" s="232"/>
      <c r="AB34" s="232"/>
      <c r="AC34" s="232"/>
      <c r="AD34" s="232"/>
      <c r="AE34" s="232"/>
      <c r="AF34" s="232">
        <f t="shared" si="13"/>
        <v>3</v>
      </c>
      <c r="AH34" s="233">
        <v>3</v>
      </c>
      <c r="AI34" s="232"/>
      <c r="AJ34" s="232"/>
      <c r="AK34" s="232"/>
      <c r="AL34" s="232"/>
      <c r="AM34" s="232"/>
      <c r="AN34" s="232">
        <f t="shared" si="14"/>
        <v>3</v>
      </c>
      <c r="AP34" s="232">
        <v>0</v>
      </c>
      <c r="AQ34" s="232"/>
      <c r="AR34" s="232"/>
      <c r="AS34" s="232"/>
      <c r="AT34" s="232"/>
      <c r="AU34" s="232"/>
      <c r="AV34" s="232">
        <f t="shared" si="15"/>
        <v>0</v>
      </c>
      <c r="AX34" s="232">
        <v>0</v>
      </c>
      <c r="AY34" s="232"/>
      <c r="AZ34" s="232"/>
      <c r="BA34" s="232"/>
      <c r="BB34" s="232"/>
      <c r="BC34" s="232"/>
      <c r="BD34" s="232">
        <f t="shared" si="16"/>
        <v>0</v>
      </c>
      <c r="BF34" s="232"/>
      <c r="BG34" s="232"/>
      <c r="BH34" s="232"/>
      <c r="BI34" s="232"/>
      <c r="BJ34" s="232"/>
      <c r="BK34" s="232"/>
      <c r="BL34" s="232">
        <f t="shared" si="17"/>
        <v>0</v>
      </c>
      <c r="BN34" s="229">
        <f t="shared" si="20"/>
        <v>12</v>
      </c>
      <c r="BO34" s="229">
        <f t="shared" si="21"/>
        <v>0</v>
      </c>
      <c r="BP34" s="229">
        <f t="shared" si="22"/>
        <v>0</v>
      </c>
      <c r="BQ34" s="229">
        <f t="shared" si="23"/>
        <v>0</v>
      </c>
      <c r="BR34" s="229">
        <f t="shared" si="24"/>
        <v>0</v>
      </c>
      <c r="BS34" s="229">
        <f t="shared" si="25"/>
        <v>0</v>
      </c>
      <c r="BT34" s="232">
        <f t="shared" si="19"/>
        <v>12</v>
      </c>
      <c r="BV34" s="232">
        <v>12</v>
      </c>
      <c r="BW34" s="286">
        <f t="shared" si="9"/>
        <v>0</v>
      </c>
    </row>
    <row r="35" spans="1:75" x14ac:dyDescent="0.25">
      <c r="A35" s="192" t="s">
        <v>188</v>
      </c>
      <c r="B35" s="233">
        <v>0</v>
      </c>
      <c r="C35" s="232"/>
      <c r="D35" s="232"/>
      <c r="E35" s="232"/>
      <c r="F35" s="232"/>
      <c r="G35" s="232"/>
      <c r="H35" s="232">
        <f t="shared" si="10"/>
        <v>0</v>
      </c>
      <c r="J35" s="232">
        <v>1</v>
      </c>
      <c r="K35" s="232"/>
      <c r="L35" s="232"/>
      <c r="M35" s="232"/>
      <c r="N35" s="232"/>
      <c r="O35" s="232"/>
      <c r="P35" s="232">
        <f t="shared" si="11"/>
        <v>1</v>
      </c>
      <c r="R35" s="232">
        <v>1</v>
      </c>
      <c r="S35" s="232"/>
      <c r="T35" s="232"/>
      <c r="U35" s="232"/>
      <c r="V35" s="232"/>
      <c r="W35" s="232"/>
      <c r="X35" s="232">
        <f t="shared" si="12"/>
        <v>1</v>
      </c>
      <c r="Z35" s="232">
        <v>2</v>
      </c>
      <c r="AA35" s="232"/>
      <c r="AB35" s="232"/>
      <c r="AC35" s="232"/>
      <c r="AD35" s="232"/>
      <c r="AE35" s="232"/>
      <c r="AF35" s="232">
        <f t="shared" si="13"/>
        <v>2</v>
      </c>
      <c r="AH35" s="232">
        <v>1</v>
      </c>
      <c r="AI35" s="232"/>
      <c r="AJ35" s="232"/>
      <c r="AK35" s="232"/>
      <c r="AL35" s="232"/>
      <c r="AM35" s="232"/>
      <c r="AN35" s="232">
        <f t="shared" si="14"/>
        <v>1</v>
      </c>
      <c r="AP35" s="232">
        <v>0</v>
      </c>
      <c r="AQ35" s="232"/>
      <c r="AR35" s="232"/>
      <c r="AS35" s="232"/>
      <c r="AT35" s="232"/>
      <c r="AU35" s="232"/>
      <c r="AV35" s="232">
        <f t="shared" si="15"/>
        <v>0</v>
      </c>
      <c r="AX35" s="232">
        <v>0</v>
      </c>
      <c r="AY35" s="232"/>
      <c r="AZ35" s="232"/>
      <c r="BA35" s="232"/>
      <c r="BB35" s="232"/>
      <c r="BC35" s="232"/>
      <c r="BD35" s="232">
        <f t="shared" si="16"/>
        <v>0</v>
      </c>
      <c r="BF35" s="232"/>
      <c r="BG35" s="232"/>
      <c r="BH35" s="232"/>
      <c r="BI35" s="232"/>
      <c r="BJ35" s="232"/>
      <c r="BK35" s="232"/>
      <c r="BL35" s="232">
        <f t="shared" si="17"/>
        <v>0</v>
      </c>
      <c r="BN35" s="229">
        <f t="shared" si="20"/>
        <v>5</v>
      </c>
      <c r="BO35" s="229">
        <f t="shared" si="21"/>
        <v>0</v>
      </c>
      <c r="BP35" s="229">
        <f t="shared" si="22"/>
        <v>0</v>
      </c>
      <c r="BQ35" s="229">
        <f t="shared" si="23"/>
        <v>0</v>
      </c>
      <c r="BR35" s="229">
        <f t="shared" si="24"/>
        <v>0</v>
      </c>
      <c r="BS35" s="229">
        <f t="shared" si="25"/>
        <v>0</v>
      </c>
      <c r="BT35" s="232">
        <f t="shared" si="19"/>
        <v>5</v>
      </c>
      <c r="BV35" s="232">
        <v>5</v>
      </c>
      <c r="BW35" s="286">
        <f t="shared" si="9"/>
        <v>0</v>
      </c>
    </row>
    <row r="36" spans="1:75" x14ac:dyDescent="0.25">
      <c r="A36" s="189" t="s">
        <v>189</v>
      </c>
      <c r="B36" s="234">
        <f>SUM(B27:B35)</f>
        <v>41</v>
      </c>
      <c r="C36" s="234">
        <f t="shared" ref="C36:G36" si="26">SUM(C27:C35)</f>
        <v>5</v>
      </c>
      <c r="D36" s="234">
        <f t="shared" si="26"/>
        <v>0</v>
      </c>
      <c r="E36" s="234">
        <f t="shared" si="26"/>
        <v>0</v>
      </c>
      <c r="F36" s="234">
        <f t="shared" si="26"/>
        <v>0</v>
      </c>
      <c r="G36" s="234">
        <f t="shared" si="26"/>
        <v>0</v>
      </c>
      <c r="H36" s="234">
        <f>SUM(H27:H35)</f>
        <v>46</v>
      </c>
      <c r="J36" s="234">
        <f>SUM(J27:J35)</f>
        <v>100</v>
      </c>
      <c r="K36" s="234">
        <f t="shared" ref="K36:O36" si="27">SUM(K27:K35)</f>
        <v>13</v>
      </c>
      <c r="L36" s="234">
        <f t="shared" si="27"/>
        <v>0</v>
      </c>
      <c r="M36" s="234">
        <f t="shared" si="27"/>
        <v>0</v>
      </c>
      <c r="N36" s="234">
        <f t="shared" si="27"/>
        <v>0</v>
      </c>
      <c r="O36" s="234">
        <f t="shared" si="27"/>
        <v>0</v>
      </c>
      <c r="P36" s="234">
        <f>SUM(P27:P35)</f>
        <v>113</v>
      </c>
      <c r="R36" s="234">
        <f>SUM(R27:R35)</f>
        <v>44</v>
      </c>
      <c r="S36" s="234">
        <f t="shared" ref="S36:W36" si="28">SUM(S27:S35)</f>
        <v>4</v>
      </c>
      <c r="T36" s="234">
        <f t="shared" si="28"/>
        <v>0</v>
      </c>
      <c r="U36" s="234">
        <f t="shared" si="28"/>
        <v>0</v>
      </c>
      <c r="V36" s="234">
        <f t="shared" si="28"/>
        <v>0</v>
      </c>
      <c r="W36" s="234">
        <f t="shared" si="28"/>
        <v>0</v>
      </c>
      <c r="X36" s="234">
        <f>SUM(X27:X35)</f>
        <v>48</v>
      </c>
      <c r="Z36" s="234">
        <f>SUM(Z27:Z35)</f>
        <v>56</v>
      </c>
      <c r="AA36" s="234">
        <f t="shared" ref="AA36:AE36" si="29">SUM(AA27:AA35)</f>
        <v>5</v>
      </c>
      <c r="AB36" s="234">
        <f t="shared" si="29"/>
        <v>0</v>
      </c>
      <c r="AC36" s="234">
        <f t="shared" si="29"/>
        <v>0</v>
      </c>
      <c r="AD36" s="234">
        <f t="shared" si="29"/>
        <v>0</v>
      </c>
      <c r="AE36" s="234">
        <f t="shared" si="29"/>
        <v>0</v>
      </c>
      <c r="AF36" s="234">
        <f>SUM(AF27:AF35)</f>
        <v>61</v>
      </c>
      <c r="AH36" s="234">
        <f>SUM(AH27:AH35)</f>
        <v>100</v>
      </c>
      <c r="AI36" s="234">
        <f t="shared" ref="AI36:AM36" si="30">SUM(AI27:AI35)</f>
        <v>12</v>
      </c>
      <c r="AJ36" s="234">
        <f t="shared" si="30"/>
        <v>0</v>
      </c>
      <c r="AK36" s="234">
        <f t="shared" si="30"/>
        <v>0</v>
      </c>
      <c r="AL36" s="234">
        <f t="shared" si="30"/>
        <v>0</v>
      </c>
      <c r="AM36" s="234">
        <f t="shared" si="30"/>
        <v>0</v>
      </c>
      <c r="AN36" s="234">
        <f>SUM(AN27:AN35)</f>
        <v>112</v>
      </c>
      <c r="AP36" s="234">
        <f>SUM(AP27:AP35)</f>
        <v>18</v>
      </c>
      <c r="AQ36" s="234">
        <f t="shared" ref="AQ36:AU36" si="31">SUM(AQ27:AQ35)</f>
        <v>1</v>
      </c>
      <c r="AR36" s="234">
        <f t="shared" si="31"/>
        <v>0</v>
      </c>
      <c r="AS36" s="234">
        <f t="shared" si="31"/>
        <v>0</v>
      </c>
      <c r="AT36" s="234">
        <f t="shared" si="31"/>
        <v>0</v>
      </c>
      <c r="AU36" s="234">
        <f t="shared" si="31"/>
        <v>0</v>
      </c>
      <c r="AV36" s="234">
        <f>SUM(AV27:AV35)</f>
        <v>19</v>
      </c>
      <c r="AX36" s="234">
        <f>SUM(AX27:AX35)</f>
        <v>0</v>
      </c>
      <c r="AY36" s="234">
        <f t="shared" ref="AY36:BC36" si="32">SUM(AY27:AY35)</f>
        <v>1</v>
      </c>
      <c r="AZ36" s="234">
        <f t="shared" si="32"/>
        <v>0</v>
      </c>
      <c r="BA36" s="234">
        <f t="shared" si="32"/>
        <v>0</v>
      </c>
      <c r="BB36" s="234">
        <f t="shared" si="32"/>
        <v>0</v>
      </c>
      <c r="BC36" s="234">
        <f t="shared" si="32"/>
        <v>0</v>
      </c>
      <c r="BD36" s="234">
        <f>SUM(BD27:BD35)</f>
        <v>1</v>
      </c>
      <c r="BF36" s="234">
        <f>SUM(BF27:BF35)</f>
        <v>1</v>
      </c>
      <c r="BG36" s="234">
        <f t="shared" ref="BG36:BK36" si="33">SUM(BG27:BG35)</f>
        <v>0</v>
      </c>
      <c r="BH36" s="234">
        <f t="shared" si="33"/>
        <v>0</v>
      </c>
      <c r="BI36" s="234">
        <f t="shared" si="33"/>
        <v>0</v>
      </c>
      <c r="BJ36" s="234">
        <f t="shared" si="33"/>
        <v>0</v>
      </c>
      <c r="BK36" s="234">
        <f t="shared" si="33"/>
        <v>0</v>
      </c>
      <c r="BL36" s="234">
        <f>SUM(BL27:BL35)</f>
        <v>1</v>
      </c>
      <c r="BN36" s="234">
        <f>SUM(BN27:BN35)</f>
        <v>360</v>
      </c>
      <c r="BO36" s="234">
        <f t="shared" ref="BO36:BS36" si="34">SUM(BO27:BO35)</f>
        <v>41</v>
      </c>
      <c r="BP36" s="234">
        <f t="shared" si="34"/>
        <v>0</v>
      </c>
      <c r="BQ36" s="234">
        <f t="shared" si="34"/>
        <v>0</v>
      </c>
      <c r="BR36" s="234">
        <f t="shared" si="34"/>
        <v>0</v>
      </c>
      <c r="BS36" s="234">
        <f t="shared" si="34"/>
        <v>0</v>
      </c>
      <c r="BT36" s="234">
        <f>SUM(BT27:BT35)</f>
        <v>401</v>
      </c>
      <c r="BV36" s="234">
        <v>400</v>
      </c>
      <c r="BW36" s="286">
        <f t="shared" si="9"/>
        <v>1</v>
      </c>
    </row>
    <row r="37" spans="1:75" x14ac:dyDescent="0.25">
      <c r="A37" s="193"/>
      <c r="B37" s="227"/>
      <c r="C37" s="227"/>
      <c r="D37" s="227"/>
      <c r="E37" s="227"/>
      <c r="F37" s="227"/>
      <c r="G37" s="227"/>
      <c r="H37" s="227"/>
      <c r="J37" s="227"/>
      <c r="K37" s="227"/>
      <c r="L37" s="227"/>
      <c r="M37" s="227"/>
      <c r="N37" s="227"/>
      <c r="O37" s="227"/>
      <c r="P37" s="227"/>
      <c r="R37" s="227"/>
      <c r="S37" s="227"/>
      <c r="T37" s="227"/>
      <c r="U37" s="227"/>
      <c r="V37" s="227"/>
      <c r="W37" s="227"/>
      <c r="X37" s="227"/>
      <c r="Z37" s="227"/>
      <c r="AA37" s="227"/>
      <c r="AB37" s="227"/>
      <c r="AC37" s="227"/>
      <c r="AD37" s="227"/>
      <c r="AE37" s="227"/>
      <c r="AF37" s="227"/>
      <c r="AH37" s="227"/>
      <c r="AI37" s="227"/>
      <c r="AJ37" s="227"/>
      <c r="AK37" s="227"/>
      <c r="AL37" s="227"/>
      <c r="AM37" s="227"/>
      <c r="AN37" s="227"/>
      <c r="AP37" s="227"/>
      <c r="AQ37" s="227"/>
      <c r="AR37" s="227"/>
      <c r="AS37" s="227"/>
      <c r="AT37" s="227"/>
      <c r="AU37" s="227"/>
      <c r="AV37" s="227"/>
      <c r="AX37" s="227"/>
      <c r="AY37" s="227"/>
      <c r="AZ37" s="227"/>
      <c r="BA37" s="227"/>
      <c r="BB37" s="227"/>
      <c r="BC37" s="227"/>
      <c r="BD37" s="227"/>
      <c r="BF37" s="227"/>
      <c r="BG37" s="227"/>
      <c r="BH37" s="227"/>
      <c r="BI37" s="227"/>
      <c r="BJ37" s="227"/>
      <c r="BK37" s="227"/>
      <c r="BL37" s="227"/>
      <c r="BN37" s="227"/>
      <c r="BO37" s="227"/>
      <c r="BP37" s="227"/>
      <c r="BQ37" s="227"/>
      <c r="BR37" s="227"/>
      <c r="BS37" s="227"/>
      <c r="BT37" s="227"/>
      <c r="BV37" s="227"/>
      <c r="BW37" s="286">
        <f t="shared" si="9"/>
        <v>0</v>
      </c>
    </row>
    <row r="38" spans="1:75" x14ac:dyDescent="0.25">
      <c r="A38" s="189" t="s">
        <v>190</v>
      </c>
      <c r="B38" s="228" t="s">
        <v>309</v>
      </c>
      <c r="C38" s="228" t="s">
        <v>310</v>
      </c>
      <c r="D38" s="228" t="s">
        <v>311</v>
      </c>
      <c r="E38" s="228" t="str">
        <f>E20</f>
        <v>Other</v>
      </c>
      <c r="F38" s="228" t="s">
        <v>313</v>
      </c>
      <c r="G38" s="228" t="s">
        <v>314</v>
      </c>
      <c r="H38" s="228" t="s">
        <v>320</v>
      </c>
      <c r="J38" s="228" t="s">
        <v>309</v>
      </c>
      <c r="K38" s="228" t="s">
        <v>310</v>
      </c>
      <c r="L38" s="228" t="s">
        <v>311</v>
      </c>
      <c r="M38" s="228" t="str">
        <f>M20</f>
        <v>Other</v>
      </c>
      <c r="N38" s="228" t="s">
        <v>313</v>
      </c>
      <c r="O38" s="228" t="s">
        <v>314</v>
      </c>
      <c r="P38" s="228" t="str">
        <f>P26</f>
        <v>Cadence</v>
      </c>
      <c r="R38" s="228" t="s">
        <v>309</v>
      </c>
      <c r="S38" s="228" t="s">
        <v>310</v>
      </c>
      <c r="T38" s="228" t="s">
        <v>311</v>
      </c>
      <c r="U38" s="228" t="str">
        <f>U20</f>
        <v>Other</v>
      </c>
      <c r="V38" s="228" t="s">
        <v>313</v>
      </c>
      <c r="W38" s="228" t="s">
        <v>314</v>
      </c>
      <c r="X38" s="228" t="str">
        <f>X20</f>
        <v>St. Rose</v>
      </c>
      <c r="Z38" s="228" t="s">
        <v>309</v>
      </c>
      <c r="AA38" s="228" t="s">
        <v>310</v>
      </c>
      <c r="AB38" s="228" t="s">
        <v>311</v>
      </c>
      <c r="AC38" s="228" t="str">
        <f>AC20</f>
        <v>Other</v>
      </c>
      <c r="AD38" s="228" t="s">
        <v>313</v>
      </c>
      <c r="AE38" s="228" t="s">
        <v>314</v>
      </c>
      <c r="AF38" s="228" t="str">
        <f>AF26</f>
        <v>Inspirada</v>
      </c>
      <c r="AH38" s="228" t="s">
        <v>309</v>
      </c>
      <c r="AI38" s="228" t="s">
        <v>310</v>
      </c>
      <c r="AJ38" s="228" t="s">
        <v>311</v>
      </c>
      <c r="AK38" s="228" t="str">
        <f>AK20</f>
        <v>Other</v>
      </c>
      <c r="AL38" s="228" t="s">
        <v>313</v>
      </c>
      <c r="AM38" s="228" t="s">
        <v>314</v>
      </c>
      <c r="AN38" s="228" t="str">
        <f>AN26</f>
        <v>Sloan</v>
      </c>
      <c r="AP38" s="228" t="s">
        <v>309</v>
      </c>
      <c r="AQ38" s="228" t="s">
        <v>310</v>
      </c>
      <c r="AR38" s="228" t="s">
        <v>311</v>
      </c>
      <c r="AS38" s="228" t="str">
        <f>AS20</f>
        <v>Other</v>
      </c>
      <c r="AT38" s="228" t="s">
        <v>313</v>
      </c>
      <c r="AU38" s="228" t="s">
        <v>314</v>
      </c>
      <c r="AV38" s="228" t="str">
        <f>AV26</f>
        <v>Springs</v>
      </c>
      <c r="AX38" s="228" t="s">
        <v>309</v>
      </c>
      <c r="AY38" s="228" t="s">
        <v>310</v>
      </c>
      <c r="AZ38" s="228" t="s">
        <v>311</v>
      </c>
      <c r="BA38" s="228" t="str">
        <f>BA20</f>
        <v>Other</v>
      </c>
      <c r="BB38" s="228" t="s">
        <v>313</v>
      </c>
      <c r="BC38" s="228" t="s">
        <v>314</v>
      </c>
      <c r="BD38" s="228" t="str">
        <f>BD26</f>
        <v>Virtual</v>
      </c>
      <c r="BF38" s="228" t="s">
        <v>309</v>
      </c>
      <c r="BG38" s="228" t="s">
        <v>310</v>
      </c>
      <c r="BH38" s="228" t="s">
        <v>311</v>
      </c>
      <c r="BI38" s="228" t="str">
        <f>BI20</f>
        <v>Other</v>
      </c>
      <c r="BJ38" s="228" t="s">
        <v>313</v>
      </c>
      <c r="BK38" s="228" t="s">
        <v>314</v>
      </c>
      <c r="BL38" s="228" t="str">
        <f>BL26</f>
        <v>Central</v>
      </c>
      <c r="BN38" s="228" t="s">
        <v>309</v>
      </c>
      <c r="BO38" s="228" t="s">
        <v>310</v>
      </c>
      <c r="BP38" s="228" t="s">
        <v>311</v>
      </c>
      <c r="BQ38" s="228" t="str">
        <f>BQ20</f>
        <v>Other</v>
      </c>
      <c r="BR38" s="228" t="s">
        <v>313</v>
      </c>
      <c r="BS38" s="228" t="s">
        <v>314</v>
      </c>
      <c r="BT38" s="228" t="str">
        <f>BT26</f>
        <v>System</v>
      </c>
      <c r="BV38" s="228" t="s">
        <v>320</v>
      </c>
      <c r="BW38" s="286" t="e">
        <f t="shared" si="9"/>
        <v>#VALUE!</v>
      </c>
    </row>
    <row r="39" spans="1:75" x14ac:dyDescent="0.25">
      <c r="A39" s="191" t="s">
        <v>53</v>
      </c>
      <c r="B39" s="232">
        <v>1</v>
      </c>
      <c r="C39" s="233"/>
      <c r="D39" s="233"/>
      <c r="E39" s="233"/>
      <c r="F39" s="233"/>
      <c r="G39" s="233"/>
      <c r="H39" s="232">
        <f t="shared" ref="H39:H60" si="35">SUM(B39:G39)</f>
        <v>1</v>
      </c>
      <c r="J39" s="232">
        <v>1</v>
      </c>
      <c r="K39" s="233"/>
      <c r="L39" s="233"/>
      <c r="M39" s="233"/>
      <c r="N39" s="233"/>
      <c r="O39" s="233"/>
      <c r="P39" s="232">
        <f t="shared" ref="P39:P60" si="36">SUM(J39:O39)</f>
        <v>1</v>
      </c>
      <c r="R39" s="232">
        <v>1</v>
      </c>
      <c r="S39" s="233"/>
      <c r="T39" s="233"/>
      <c r="U39" s="233"/>
      <c r="V39" s="233"/>
      <c r="W39" s="233"/>
      <c r="X39" s="232">
        <f t="shared" ref="X39:X60" si="37">SUM(R39:W39)</f>
        <v>1</v>
      </c>
      <c r="Z39" s="232">
        <v>1</v>
      </c>
      <c r="AA39" s="233"/>
      <c r="AB39" s="233"/>
      <c r="AC39" s="233"/>
      <c r="AD39" s="233"/>
      <c r="AE39" s="233"/>
      <c r="AF39" s="232">
        <f t="shared" ref="AF39:AF60" si="38">SUM(Z39:AE39)</f>
        <v>1</v>
      </c>
      <c r="AH39" s="232">
        <v>1</v>
      </c>
      <c r="AI39" s="233"/>
      <c r="AJ39" s="233"/>
      <c r="AK39" s="233"/>
      <c r="AL39" s="233"/>
      <c r="AM39" s="233"/>
      <c r="AN39" s="232">
        <f t="shared" ref="AN39:AN60" si="39">SUM(AH39:AM39)</f>
        <v>1</v>
      </c>
      <c r="AP39" s="232">
        <v>1</v>
      </c>
      <c r="AQ39" s="233"/>
      <c r="AR39" s="233"/>
      <c r="AS39" s="233"/>
      <c r="AT39" s="233"/>
      <c r="AU39" s="233"/>
      <c r="AV39" s="232">
        <f t="shared" ref="AV39:AV60" si="40">SUM(AP39:AU39)</f>
        <v>1</v>
      </c>
      <c r="AX39" s="232">
        <v>0</v>
      </c>
      <c r="AY39" s="233"/>
      <c r="AZ39" s="233"/>
      <c r="BA39" s="233"/>
      <c r="BB39" s="233"/>
      <c r="BC39" s="233"/>
      <c r="BD39" s="232">
        <f t="shared" ref="BD39:BD60" si="41">SUM(AX39:BC39)</f>
        <v>0</v>
      </c>
      <c r="BF39" s="232"/>
      <c r="BG39" s="233"/>
      <c r="BH39" s="233"/>
      <c r="BI39" s="233"/>
      <c r="BJ39" s="233"/>
      <c r="BK39" s="233"/>
      <c r="BL39" s="232">
        <f t="shared" ref="BL39:BL60" si="42">SUM(BF39:BK39)</f>
        <v>0</v>
      </c>
      <c r="BN39" s="229">
        <f>B39+J39+R39+Z39+AH39+AP39+AX39+BF39</f>
        <v>6</v>
      </c>
      <c r="BO39" s="229">
        <f t="shared" ref="BO39:BS39" si="43">C39+K39+S39+AA39+AI39+AQ39+AY39+BG39</f>
        <v>0</v>
      </c>
      <c r="BP39" s="229">
        <f t="shared" si="43"/>
        <v>0</v>
      </c>
      <c r="BQ39" s="229">
        <f t="shared" si="43"/>
        <v>0</v>
      </c>
      <c r="BR39" s="229">
        <f t="shared" si="43"/>
        <v>0</v>
      </c>
      <c r="BS39" s="229">
        <f t="shared" si="43"/>
        <v>0</v>
      </c>
      <c r="BT39" s="232">
        <f t="shared" ref="BT39:BT49" si="44">SUM(BN39:BS39)</f>
        <v>6</v>
      </c>
      <c r="BV39" s="232">
        <v>6</v>
      </c>
      <c r="BW39" s="286">
        <f t="shared" si="9"/>
        <v>0</v>
      </c>
    </row>
    <row r="40" spans="1:75" x14ac:dyDescent="0.25">
      <c r="A40" s="191" t="s">
        <v>191</v>
      </c>
      <c r="B40" s="232">
        <v>3</v>
      </c>
      <c r="C40" s="233"/>
      <c r="D40" s="233"/>
      <c r="E40" s="233"/>
      <c r="F40" s="233"/>
      <c r="G40" s="233"/>
      <c r="H40" s="232">
        <f t="shared" si="35"/>
        <v>3</v>
      </c>
      <c r="J40" s="232">
        <v>6</v>
      </c>
      <c r="K40" s="233"/>
      <c r="L40" s="233"/>
      <c r="M40" s="233"/>
      <c r="N40" s="233"/>
      <c r="O40" s="233"/>
      <c r="P40" s="232">
        <f t="shared" si="36"/>
        <v>6</v>
      </c>
      <c r="R40" s="232">
        <v>3</v>
      </c>
      <c r="S40" s="233"/>
      <c r="T40" s="233"/>
      <c r="U40" s="233"/>
      <c r="V40" s="233"/>
      <c r="W40" s="233"/>
      <c r="X40" s="232">
        <f t="shared" si="37"/>
        <v>3</v>
      </c>
      <c r="Z40" s="232">
        <v>2</v>
      </c>
      <c r="AA40" s="233"/>
      <c r="AB40" s="233"/>
      <c r="AC40" s="233"/>
      <c r="AD40" s="233"/>
      <c r="AE40" s="233"/>
      <c r="AF40" s="232">
        <f t="shared" si="38"/>
        <v>2</v>
      </c>
      <c r="AH40" s="232">
        <v>4</v>
      </c>
      <c r="AI40" s="233"/>
      <c r="AJ40" s="233"/>
      <c r="AK40" s="233"/>
      <c r="AL40" s="233"/>
      <c r="AM40" s="233"/>
      <c r="AN40" s="232">
        <f t="shared" si="39"/>
        <v>4</v>
      </c>
      <c r="AP40" s="232">
        <v>0</v>
      </c>
      <c r="AQ40" s="233"/>
      <c r="AR40" s="233"/>
      <c r="AS40" s="233"/>
      <c r="AT40" s="233"/>
      <c r="AU40" s="233"/>
      <c r="AV40" s="232">
        <f t="shared" si="40"/>
        <v>0</v>
      </c>
      <c r="AX40" s="232">
        <v>0</v>
      </c>
      <c r="AY40" s="233"/>
      <c r="AZ40" s="233"/>
      <c r="BA40" s="233"/>
      <c r="BB40" s="233"/>
      <c r="BC40" s="233"/>
      <c r="BD40" s="232">
        <f t="shared" si="41"/>
        <v>0</v>
      </c>
      <c r="BF40" s="232">
        <v>1</v>
      </c>
      <c r="BG40" s="233"/>
      <c r="BH40" s="233"/>
      <c r="BI40" s="233"/>
      <c r="BJ40" s="233"/>
      <c r="BK40" s="233"/>
      <c r="BL40" s="232">
        <f t="shared" si="42"/>
        <v>1</v>
      </c>
      <c r="BN40" s="229">
        <f t="shared" ref="BN40:BN60" si="45">B40+J40+R40+Z40+AH40+AP40+AX40+BF40</f>
        <v>19</v>
      </c>
      <c r="BO40" s="229">
        <f t="shared" ref="BO40:BO60" si="46">C40+K40+S40+AA40+AI40+AQ40+AY40+BG40</f>
        <v>0</v>
      </c>
      <c r="BP40" s="229">
        <f t="shared" ref="BP40:BP60" si="47">D40+L40+T40+AB40+AJ40+AR40+AZ40+BH40</f>
        <v>0</v>
      </c>
      <c r="BQ40" s="229">
        <f t="shared" ref="BQ40:BQ60" si="48">E40+M40+U40+AC40+AK40+AS40+BA40+BI40</f>
        <v>0</v>
      </c>
      <c r="BR40" s="229">
        <f t="shared" ref="BR40:BR60" si="49">F40+N40+V40+AD40+AL40+AT40+BB40+BJ40</f>
        <v>0</v>
      </c>
      <c r="BS40" s="229">
        <f t="shared" ref="BS40:BS60" si="50">G40+O40+W40+AE40+AM40+AU40+BC40+BK40</f>
        <v>0</v>
      </c>
      <c r="BT40" s="232">
        <f t="shared" si="44"/>
        <v>19</v>
      </c>
      <c r="BV40" s="232">
        <v>19</v>
      </c>
      <c r="BW40" s="286">
        <f t="shared" si="9"/>
        <v>0</v>
      </c>
    </row>
    <row r="41" spans="1:75" x14ac:dyDescent="0.25">
      <c r="A41" s="194" t="s">
        <v>192</v>
      </c>
      <c r="B41" s="232"/>
      <c r="C41" s="233"/>
      <c r="D41" s="233"/>
      <c r="E41" s="233"/>
      <c r="F41" s="233"/>
      <c r="G41" s="233"/>
      <c r="H41" s="232">
        <f t="shared" si="35"/>
        <v>0</v>
      </c>
      <c r="J41" s="232">
        <v>1</v>
      </c>
      <c r="K41" s="233"/>
      <c r="L41" s="233"/>
      <c r="M41" s="233"/>
      <c r="N41" s="233"/>
      <c r="O41" s="233"/>
      <c r="P41" s="232">
        <f t="shared" si="36"/>
        <v>1</v>
      </c>
      <c r="R41" s="232"/>
      <c r="S41" s="233"/>
      <c r="T41" s="233"/>
      <c r="U41" s="233"/>
      <c r="V41" s="233"/>
      <c r="W41" s="233"/>
      <c r="X41" s="232">
        <f t="shared" si="37"/>
        <v>0</v>
      </c>
      <c r="Z41" s="232"/>
      <c r="AA41" s="233"/>
      <c r="AB41" s="233"/>
      <c r="AC41" s="233"/>
      <c r="AD41" s="233"/>
      <c r="AE41" s="233"/>
      <c r="AF41" s="232">
        <f t="shared" si="38"/>
        <v>0</v>
      </c>
      <c r="AH41" s="232"/>
      <c r="AI41" s="233"/>
      <c r="AJ41" s="233"/>
      <c r="AK41" s="233"/>
      <c r="AL41" s="233"/>
      <c r="AM41" s="233"/>
      <c r="AN41" s="232">
        <f t="shared" si="39"/>
        <v>0</v>
      </c>
      <c r="AP41" s="232">
        <v>1</v>
      </c>
      <c r="AQ41" s="233"/>
      <c r="AR41" s="233"/>
      <c r="AS41" s="233"/>
      <c r="AT41" s="233"/>
      <c r="AU41" s="233"/>
      <c r="AV41" s="232">
        <f t="shared" si="40"/>
        <v>1</v>
      </c>
      <c r="AX41" s="232">
        <v>0</v>
      </c>
      <c r="AY41" s="233"/>
      <c r="AZ41" s="233"/>
      <c r="BA41" s="233"/>
      <c r="BB41" s="233"/>
      <c r="BC41" s="233"/>
      <c r="BD41" s="232">
        <f t="shared" si="41"/>
        <v>0</v>
      </c>
      <c r="BF41" s="232"/>
      <c r="BG41" s="233"/>
      <c r="BH41" s="233"/>
      <c r="BI41" s="233"/>
      <c r="BJ41" s="233"/>
      <c r="BK41" s="233"/>
      <c r="BL41" s="232">
        <f t="shared" si="42"/>
        <v>0</v>
      </c>
      <c r="BN41" s="229">
        <f t="shared" si="45"/>
        <v>2</v>
      </c>
      <c r="BO41" s="229">
        <f t="shared" si="46"/>
        <v>0</v>
      </c>
      <c r="BP41" s="229">
        <f t="shared" si="47"/>
        <v>0</v>
      </c>
      <c r="BQ41" s="229">
        <f t="shared" si="48"/>
        <v>0</v>
      </c>
      <c r="BR41" s="229">
        <f t="shared" si="49"/>
        <v>0</v>
      </c>
      <c r="BS41" s="229">
        <f t="shared" si="50"/>
        <v>0</v>
      </c>
      <c r="BT41" s="232">
        <f t="shared" si="44"/>
        <v>2</v>
      </c>
      <c r="BV41" s="232">
        <v>2</v>
      </c>
      <c r="BW41" s="286">
        <f t="shared" si="9"/>
        <v>0</v>
      </c>
    </row>
    <row r="42" spans="1:75" x14ac:dyDescent="0.25">
      <c r="A42" s="191" t="s">
        <v>193</v>
      </c>
      <c r="B42" s="232"/>
      <c r="C42" s="233"/>
      <c r="D42" s="233"/>
      <c r="E42" s="233"/>
      <c r="F42" s="233"/>
      <c r="G42" s="233"/>
      <c r="H42" s="232">
        <f t="shared" si="35"/>
        <v>0</v>
      </c>
      <c r="J42" s="233">
        <v>4</v>
      </c>
      <c r="K42" s="233"/>
      <c r="L42" s="233"/>
      <c r="M42" s="233"/>
      <c r="N42" s="233"/>
      <c r="O42" s="233"/>
      <c r="P42" s="232">
        <f t="shared" si="36"/>
        <v>4</v>
      </c>
      <c r="R42" s="232">
        <v>1</v>
      </c>
      <c r="S42" s="233"/>
      <c r="T42" s="233"/>
      <c r="U42" s="233"/>
      <c r="V42" s="233"/>
      <c r="W42" s="233"/>
      <c r="X42" s="232">
        <f t="shared" si="37"/>
        <v>1</v>
      </c>
      <c r="Z42" s="232"/>
      <c r="AA42" s="233"/>
      <c r="AB42" s="233"/>
      <c r="AC42" s="233"/>
      <c r="AD42" s="233"/>
      <c r="AE42" s="233"/>
      <c r="AF42" s="232">
        <f t="shared" si="38"/>
        <v>0</v>
      </c>
      <c r="AH42" s="232">
        <v>3</v>
      </c>
      <c r="AI42" s="233"/>
      <c r="AJ42" s="233"/>
      <c r="AK42" s="233"/>
      <c r="AL42" s="233"/>
      <c r="AM42" s="233"/>
      <c r="AN42" s="232">
        <f t="shared" si="39"/>
        <v>3</v>
      </c>
      <c r="AP42" s="232"/>
      <c r="AQ42" s="233"/>
      <c r="AR42" s="233"/>
      <c r="AS42" s="233"/>
      <c r="AT42" s="233"/>
      <c r="AU42" s="233"/>
      <c r="AV42" s="232">
        <f t="shared" si="40"/>
        <v>0</v>
      </c>
      <c r="AX42" s="232"/>
      <c r="AY42" s="233"/>
      <c r="AZ42" s="233"/>
      <c r="BA42" s="233"/>
      <c r="BB42" s="233"/>
      <c r="BC42" s="233"/>
      <c r="BD42" s="232">
        <f t="shared" si="41"/>
        <v>0</v>
      </c>
      <c r="BF42" s="232"/>
      <c r="BG42" s="233"/>
      <c r="BH42" s="233"/>
      <c r="BI42" s="233"/>
      <c r="BJ42" s="233"/>
      <c r="BK42" s="233"/>
      <c r="BL42" s="232">
        <f t="shared" si="42"/>
        <v>0</v>
      </c>
      <c r="BN42" s="229">
        <f t="shared" si="45"/>
        <v>8</v>
      </c>
      <c r="BO42" s="229">
        <f t="shared" si="46"/>
        <v>0</v>
      </c>
      <c r="BP42" s="229">
        <f t="shared" si="47"/>
        <v>0</v>
      </c>
      <c r="BQ42" s="229">
        <f t="shared" si="48"/>
        <v>0</v>
      </c>
      <c r="BR42" s="229">
        <f t="shared" si="49"/>
        <v>0</v>
      </c>
      <c r="BS42" s="229">
        <f t="shared" si="50"/>
        <v>0</v>
      </c>
      <c r="BT42" s="232">
        <f t="shared" si="44"/>
        <v>8</v>
      </c>
      <c r="BV42" s="232">
        <v>8</v>
      </c>
      <c r="BW42" s="286">
        <f t="shared" si="9"/>
        <v>0</v>
      </c>
    </row>
    <row r="43" spans="1:75" x14ac:dyDescent="0.25">
      <c r="A43" s="191" t="s">
        <v>194</v>
      </c>
      <c r="B43" s="232">
        <v>1</v>
      </c>
      <c r="C43" s="233"/>
      <c r="D43" s="233"/>
      <c r="E43" s="233"/>
      <c r="F43" s="233">
        <v>1</v>
      </c>
      <c r="G43" s="233"/>
      <c r="H43" s="232">
        <f t="shared" si="35"/>
        <v>2</v>
      </c>
      <c r="J43" s="233">
        <v>3</v>
      </c>
      <c r="K43" s="233"/>
      <c r="L43" s="233"/>
      <c r="M43" s="233"/>
      <c r="N43" s="233"/>
      <c r="O43" s="233"/>
      <c r="P43" s="232">
        <f t="shared" si="36"/>
        <v>3</v>
      </c>
      <c r="R43" s="232">
        <v>1</v>
      </c>
      <c r="S43" s="233"/>
      <c r="T43" s="233"/>
      <c r="U43" s="233"/>
      <c r="V43" s="233"/>
      <c r="W43" s="233"/>
      <c r="X43" s="232">
        <f t="shared" si="37"/>
        <v>1</v>
      </c>
      <c r="Z43" s="232">
        <v>3</v>
      </c>
      <c r="AA43" s="233"/>
      <c r="AB43" s="233"/>
      <c r="AC43" s="233"/>
      <c r="AD43" s="233"/>
      <c r="AE43" s="233"/>
      <c r="AF43" s="232">
        <f t="shared" si="38"/>
        <v>3</v>
      </c>
      <c r="AH43" s="232">
        <v>2</v>
      </c>
      <c r="AI43" s="233"/>
      <c r="AJ43" s="233"/>
      <c r="AK43" s="233"/>
      <c r="AL43" s="233"/>
      <c r="AM43" s="233"/>
      <c r="AN43" s="232">
        <f t="shared" si="39"/>
        <v>2</v>
      </c>
      <c r="AP43" s="232">
        <v>0</v>
      </c>
      <c r="AQ43" s="233"/>
      <c r="AR43" s="233"/>
      <c r="AS43" s="233"/>
      <c r="AT43" s="233">
        <v>0</v>
      </c>
      <c r="AU43" s="233"/>
      <c r="AV43" s="232">
        <f t="shared" si="40"/>
        <v>0</v>
      </c>
      <c r="AX43" s="232">
        <v>1</v>
      </c>
      <c r="AY43" s="233"/>
      <c r="AZ43" s="233"/>
      <c r="BA43" s="233"/>
      <c r="BB43" s="233">
        <v>0</v>
      </c>
      <c r="BC43" s="233"/>
      <c r="BD43" s="232">
        <f t="shared" si="41"/>
        <v>1</v>
      </c>
      <c r="BF43" s="232">
        <v>0</v>
      </c>
      <c r="BG43" s="233"/>
      <c r="BH43" s="233"/>
      <c r="BI43" s="233"/>
      <c r="BJ43" s="233">
        <v>1</v>
      </c>
      <c r="BK43" s="233"/>
      <c r="BL43" s="232">
        <f t="shared" si="42"/>
        <v>1</v>
      </c>
      <c r="BN43" s="229">
        <f t="shared" si="45"/>
        <v>11</v>
      </c>
      <c r="BO43" s="229">
        <f t="shared" si="46"/>
        <v>0</v>
      </c>
      <c r="BP43" s="229">
        <f t="shared" si="47"/>
        <v>0</v>
      </c>
      <c r="BQ43" s="229">
        <f t="shared" si="48"/>
        <v>0</v>
      </c>
      <c r="BR43" s="229">
        <f t="shared" si="49"/>
        <v>2</v>
      </c>
      <c r="BS43" s="229">
        <f t="shared" si="50"/>
        <v>0</v>
      </c>
      <c r="BT43" s="232">
        <f t="shared" si="44"/>
        <v>13</v>
      </c>
      <c r="BV43" s="232">
        <v>13</v>
      </c>
      <c r="BW43" s="286">
        <f t="shared" si="9"/>
        <v>0</v>
      </c>
    </row>
    <row r="44" spans="1:75" x14ac:dyDescent="0.25">
      <c r="A44" s="191" t="s">
        <v>195</v>
      </c>
      <c r="B44" s="232"/>
      <c r="C44" s="233"/>
      <c r="D44" s="233"/>
      <c r="E44" s="233"/>
      <c r="F44" s="233"/>
      <c r="G44" s="233"/>
      <c r="H44" s="232">
        <f t="shared" si="35"/>
        <v>0</v>
      </c>
      <c r="J44" s="233">
        <v>5</v>
      </c>
      <c r="K44" s="233"/>
      <c r="L44" s="233"/>
      <c r="M44" s="233"/>
      <c r="N44" s="233"/>
      <c r="O44" s="233"/>
      <c r="P44" s="232">
        <f t="shared" si="36"/>
        <v>5</v>
      </c>
      <c r="R44" s="232"/>
      <c r="S44" s="233"/>
      <c r="T44" s="233"/>
      <c r="U44" s="233"/>
      <c r="V44" s="233"/>
      <c r="W44" s="233"/>
      <c r="X44" s="232">
        <f t="shared" si="37"/>
        <v>0</v>
      </c>
      <c r="Z44" s="232"/>
      <c r="AA44" s="233"/>
      <c r="AB44" s="233"/>
      <c r="AC44" s="233"/>
      <c r="AD44" s="233"/>
      <c r="AE44" s="233"/>
      <c r="AF44" s="232">
        <f t="shared" si="38"/>
        <v>0</v>
      </c>
      <c r="AH44" s="232">
        <v>4</v>
      </c>
      <c r="AI44" s="233"/>
      <c r="AJ44" s="233"/>
      <c r="AK44" s="233"/>
      <c r="AL44" s="233"/>
      <c r="AM44" s="233"/>
      <c r="AN44" s="232">
        <f t="shared" si="39"/>
        <v>4</v>
      </c>
      <c r="AP44" s="232"/>
      <c r="AQ44" s="233"/>
      <c r="AR44" s="233"/>
      <c r="AS44" s="233"/>
      <c r="AT44" s="233"/>
      <c r="AU44" s="233"/>
      <c r="AV44" s="232">
        <f t="shared" si="40"/>
        <v>0</v>
      </c>
      <c r="AX44" s="232"/>
      <c r="AY44" s="233"/>
      <c r="AZ44" s="233"/>
      <c r="BA44" s="233"/>
      <c r="BB44" s="233"/>
      <c r="BC44" s="233"/>
      <c r="BD44" s="232">
        <f t="shared" si="41"/>
        <v>0</v>
      </c>
      <c r="BF44" s="232"/>
      <c r="BG44" s="233"/>
      <c r="BH44" s="233"/>
      <c r="BI44" s="233"/>
      <c r="BJ44" s="233"/>
      <c r="BK44" s="233"/>
      <c r="BL44" s="232">
        <f t="shared" si="42"/>
        <v>0</v>
      </c>
      <c r="BN44" s="229">
        <f t="shared" si="45"/>
        <v>9</v>
      </c>
      <c r="BO44" s="229">
        <f t="shared" si="46"/>
        <v>0</v>
      </c>
      <c r="BP44" s="229">
        <f t="shared" si="47"/>
        <v>0</v>
      </c>
      <c r="BQ44" s="229">
        <f t="shared" si="48"/>
        <v>0</v>
      </c>
      <c r="BR44" s="229">
        <f t="shared" si="49"/>
        <v>0</v>
      </c>
      <c r="BS44" s="229">
        <f t="shared" si="50"/>
        <v>0</v>
      </c>
      <c r="BT44" s="232">
        <f t="shared" si="44"/>
        <v>9</v>
      </c>
      <c r="BV44" s="232">
        <v>9</v>
      </c>
      <c r="BW44" s="286">
        <f t="shared" si="9"/>
        <v>0</v>
      </c>
    </row>
    <row r="45" spans="1:75" x14ac:dyDescent="0.25">
      <c r="A45" s="191" t="s">
        <v>196</v>
      </c>
      <c r="B45" s="232"/>
      <c r="C45" s="233"/>
      <c r="D45" s="233"/>
      <c r="E45" s="233"/>
      <c r="F45" s="233"/>
      <c r="G45" s="233"/>
      <c r="H45" s="232">
        <f t="shared" si="35"/>
        <v>0</v>
      </c>
      <c r="J45" s="232">
        <v>1</v>
      </c>
      <c r="K45" s="233"/>
      <c r="L45" s="233"/>
      <c r="M45" s="233"/>
      <c r="N45" s="233"/>
      <c r="O45" s="233"/>
      <c r="P45" s="232">
        <f t="shared" si="36"/>
        <v>1</v>
      </c>
      <c r="R45" s="232"/>
      <c r="S45" s="233"/>
      <c r="T45" s="233"/>
      <c r="U45" s="233"/>
      <c r="V45" s="233"/>
      <c r="W45" s="233"/>
      <c r="X45" s="232">
        <f t="shared" si="37"/>
        <v>0</v>
      </c>
      <c r="Z45" s="232"/>
      <c r="AA45" s="233"/>
      <c r="AB45" s="233"/>
      <c r="AC45" s="233"/>
      <c r="AD45" s="233"/>
      <c r="AE45" s="233"/>
      <c r="AF45" s="232">
        <f t="shared" si="38"/>
        <v>0</v>
      </c>
      <c r="AH45" s="232"/>
      <c r="AI45" s="233"/>
      <c r="AJ45" s="233"/>
      <c r="AK45" s="233"/>
      <c r="AL45" s="233"/>
      <c r="AM45" s="233"/>
      <c r="AN45" s="232">
        <f t="shared" si="39"/>
        <v>0</v>
      </c>
      <c r="AP45" s="232"/>
      <c r="AQ45" s="233"/>
      <c r="AR45" s="233"/>
      <c r="AS45" s="233"/>
      <c r="AT45" s="233"/>
      <c r="AU45" s="233"/>
      <c r="AV45" s="232">
        <f t="shared" si="40"/>
        <v>0</v>
      </c>
      <c r="AX45" s="232"/>
      <c r="AY45" s="233"/>
      <c r="AZ45" s="233"/>
      <c r="BA45" s="233"/>
      <c r="BB45" s="233"/>
      <c r="BC45" s="233"/>
      <c r="BD45" s="232">
        <f t="shared" si="41"/>
        <v>0</v>
      </c>
      <c r="BF45" s="232"/>
      <c r="BG45" s="233"/>
      <c r="BH45" s="233"/>
      <c r="BI45" s="233"/>
      <c r="BJ45" s="233"/>
      <c r="BK45" s="233"/>
      <c r="BL45" s="232">
        <f t="shared" si="42"/>
        <v>0</v>
      </c>
      <c r="BN45" s="229">
        <f t="shared" si="45"/>
        <v>1</v>
      </c>
      <c r="BO45" s="229">
        <f t="shared" si="46"/>
        <v>0</v>
      </c>
      <c r="BP45" s="229">
        <f t="shared" si="47"/>
        <v>0</v>
      </c>
      <c r="BQ45" s="229">
        <f t="shared" si="48"/>
        <v>0</v>
      </c>
      <c r="BR45" s="229">
        <f t="shared" si="49"/>
        <v>0</v>
      </c>
      <c r="BS45" s="229">
        <f t="shared" si="50"/>
        <v>0</v>
      </c>
      <c r="BT45" s="232">
        <f t="shared" si="44"/>
        <v>1</v>
      </c>
      <c r="BV45" s="232">
        <v>1</v>
      </c>
      <c r="BW45" s="286">
        <f t="shared" si="9"/>
        <v>0</v>
      </c>
    </row>
    <row r="46" spans="1:75" x14ac:dyDescent="0.25">
      <c r="A46" s="191" t="s">
        <v>197</v>
      </c>
      <c r="B46" s="232">
        <v>2</v>
      </c>
      <c r="C46" s="233"/>
      <c r="D46" s="233"/>
      <c r="E46" s="233"/>
      <c r="F46" s="233"/>
      <c r="G46" s="233"/>
      <c r="H46" s="232">
        <f t="shared" si="35"/>
        <v>2</v>
      </c>
      <c r="J46" s="232">
        <v>4</v>
      </c>
      <c r="K46" s="233"/>
      <c r="L46" s="233"/>
      <c r="M46" s="233"/>
      <c r="N46" s="233"/>
      <c r="O46" s="233"/>
      <c r="P46" s="232">
        <f t="shared" si="36"/>
        <v>4</v>
      </c>
      <c r="R46" s="232">
        <v>1</v>
      </c>
      <c r="S46" s="233"/>
      <c r="T46" s="233"/>
      <c r="U46" s="233"/>
      <c r="V46" s="233"/>
      <c r="W46" s="233"/>
      <c r="X46" s="232">
        <f t="shared" si="37"/>
        <v>1</v>
      </c>
      <c r="Z46" s="232">
        <v>1</v>
      </c>
      <c r="AA46" s="233"/>
      <c r="AB46" s="233"/>
      <c r="AC46" s="233"/>
      <c r="AD46" s="233"/>
      <c r="AE46" s="233"/>
      <c r="AF46" s="232">
        <f t="shared" si="38"/>
        <v>1</v>
      </c>
      <c r="AH46" s="232">
        <v>3</v>
      </c>
      <c r="AI46" s="233"/>
      <c r="AJ46" s="233"/>
      <c r="AK46" s="233"/>
      <c r="AL46" s="233"/>
      <c r="AM46" s="233"/>
      <c r="AN46" s="232">
        <f t="shared" si="39"/>
        <v>3</v>
      </c>
      <c r="AP46" s="232">
        <v>1</v>
      </c>
      <c r="AQ46" s="233"/>
      <c r="AR46" s="233"/>
      <c r="AS46" s="233"/>
      <c r="AT46" s="233"/>
      <c r="AU46" s="233"/>
      <c r="AV46" s="232">
        <f t="shared" si="40"/>
        <v>1</v>
      </c>
      <c r="AX46" s="232">
        <v>0</v>
      </c>
      <c r="AY46" s="233"/>
      <c r="AZ46" s="233"/>
      <c r="BA46" s="233"/>
      <c r="BB46" s="233"/>
      <c r="BC46" s="233"/>
      <c r="BD46" s="232">
        <f t="shared" si="41"/>
        <v>0</v>
      </c>
      <c r="BF46" s="232">
        <v>1</v>
      </c>
      <c r="BG46" s="233"/>
      <c r="BH46" s="233"/>
      <c r="BI46" s="233"/>
      <c r="BJ46" s="233"/>
      <c r="BK46" s="233"/>
      <c r="BL46" s="232">
        <f t="shared" si="42"/>
        <v>1</v>
      </c>
      <c r="BN46" s="229">
        <f t="shared" si="45"/>
        <v>13</v>
      </c>
      <c r="BO46" s="229">
        <f t="shared" si="46"/>
        <v>0</v>
      </c>
      <c r="BP46" s="229">
        <f t="shared" si="47"/>
        <v>0</v>
      </c>
      <c r="BQ46" s="229">
        <f t="shared" si="48"/>
        <v>0</v>
      </c>
      <c r="BR46" s="229">
        <f t="shared" si="49"/>
        <v>0</v>
      </c>
      <c r="BS46" s="229">
        <f t="shared" si="50"/>
        <v>0</v>
      </c>
      <c r="BT46" s="232">
        <f t="shared" si="44"/>
        <v>13</v>
      </c>
      <c r="BV46" s="232">
        <v>13</v>
      </c>
      <c r="BW46" s="286">
        <f t="shared" si="9"/>
        <v>0</v>
      </c>
    </row>
    <row r="47" spans="1:75" x14ac:dyDescent="0.25">
      <c r="A47" s="191" t="s">
        <v>198</v>
      </c>
      <c r="B47" s="232">
        <v>1</v>
      </c>
      <c r="C47" s="233"/>
      <c r="D47" s="233"/>
      <c r="E47" s="233"/>
      <c r="F47" s="233"/>
      <c r="G47" s="233"/>
      <c r="H47" s="232">
        <f t="shared" si="35"/>
        <v>1</v>
      </c>
      <c r="J47" s="232">
        <v>1</v>
      </c>
      <c r="K47" s="233"/>
      <c r="L47" s="233"/>
      <c r="M47" s="233"/>
      <c r="N47" s="233"/>
      <c r="O47" s="233"/>
      <c r="P47" s="232">
        <f t="shared" si="36"/>
        <v>1</v>
      </c>
      <c r="R47" s="232">
        <v>1</v>
      </c>
      <c r="S47" s="233"/>
      <c r="T47" s="233"/>
      <c r="U47" s="233"/>
      <c r="V47" s="233"/>
      <c r="W47" s="233"/>
      <c r="X47" s="232">
        <f t="shared" si="37"/>
        <v>1</v>
      </c>
      <c r="Z47" s="232">
        <v>1</v>
      </c>
      <c r="AA47" s="233"/>
      <c r="AB47" s="233"/>
      <c r="AC47" s="233"/>
      <c r="AD47" s="233"/>
      <c r="AE47" s="233"/>
      <c r="AF47" s="232">
        <f t="shared" si="38"/>
        <v>1</v>
      </c>
      <c r="AH47" s="232">
        <v>2</v>
      </c>
      <c r="AI47" s="233"/>
      <c r="AJ47" s="233"/>
      <c r="AK47" s="233"/>
      <c r="AL47" s="233"/>
      <c r="AM47" s="233"/>
      <c r="AN47" s="232">
        <f t="shared" si="39"/>
        <v>2</v>
      </c>
      <c r="AP47" s="232"/>
      <c r="AQ47" s="233"/>
      <c r="AR47" s="233"/>
      <c r="AS47" s="233"/>
      <c r="AT47" s="233"/>
      <c r="AU47" s="233"/>
      <c r="AV47" s="232">
        <f t="shared" si="40"/>
        <v>0</v>
      </c>
      <c r="AX47" s="232"/>
      <c r="AY47" s="233"/>
      <c r="AZ47" s="233"/>
      <c r="BA47" s="233"/>
      <c r="BB47" s="233"/>
      <c r="BC47" s="233"/>
      <c r="BD47" s="232">
        <f t="shared" si="41"/>
        <v>0</v>
      </c>
      <c r="BF47" s="232"/>
      <c r="BG47" s="233"/>
      <c r="BH47" s="233"/>
      <c r="BI47" s="233"/>
      <c r="BJ47" s="233"/>
      <c r="BK47" s="233"/>
      <c r="BL47" s="232">
        <f t="shared" si="42"/>
        <v>0</v>
      </c>
      <c r="BN47" s="229">
        <f t="shared" si="45"/>
        <v>6</v>
      </c>
      <c r="BO47" s="229">
        <f t="shared" si="46"/>
        <v>0</v>
      </c>
      <c r="BP47" s="229">
        <f t="shared" si="47"/>
        <v>0</v>
      </c>
      <c r="BQ47" s="229">
        <f t="shared" si="48"/>
        <v>0</v>
      </c>
      <c r="BR47" s="229">
        <f t="shared" si="49"/>
        <v>0</v>
      </c>
      <c r="BS47" s="229">
        <f t="shared" si="50"/>
        <v>0</v>
      </c>
      <c r="BT47" s="232">
        <f t="shared" si="44"/>
        <v>6</v>
      </c>
      <c r="BV47" s="232">
        <v>6</v>
      </c>
      <c r="BW47" s="286">
        <f t="shared" si="9"/>
        <v>0</v>
      </c>
    </row>
    <row r="48" spans="1:75" x14ac:dyDescent="0.25">
      <c r="A48" s="191" t="s">
        <v>199</v>
      </c>
      <c r="B48" s="232">
        <v>1</v>
      </c>
      <c r="C48" s="233"/>
      <c r="D48" s="233"/>
      <c r="E48" s="233"/>
      <c r="F48" s="233"/>
      <c r="G48" s="233"/>
      <c r="H48" s="232">
        <f t="shared" si="35"/>
        <v>1</v>
      </c>
      <c r="J48" s="232">
        <v>3</v>
      </c>
      <c r="K48" s="233"/>
      <c r="L48" s="233"/>
      <c r="M48" s="233"/>
      <c r="N48" s="233"/>
      <c r="O48" s="233"/>
      <c r="P48" s="232">
        <f t="shared" si="36"/>
        <v>3</v>
      </c>
      <c r="R48" s="232">
        <v>2</v>
      </c>
      <c r="S48" s="233"/>
      <c r="T48" s="233"/>
      <c r="U48" s="233"/>
      <c r="V48" s="233"/>
      <c r="W48" s="233"/>
      <c r="X48" s="232">
        <f t="shared" si="37"/>
        <v>2</v>
      </c>
      <c r="Z48" s="232">
        <v>1</v>
      </c>
      <c r="AA48" s="233"/>
      <c r="AB48" s="233"/>
      <c r="AC48" s="233"/>
      <c r="AD48" s="233"/>
      <c r="AE48" s="233"/>
      <c r="AF48" s="232">
        <f t="shared" si="38"/>
        <v>1</v>
      </c>
      <c r="AH48" s="232">
        <v>3</v>
      </c>
      <c r="AI48" s="233"/>
      <c r="AJ48" s="233"/>
      <c r="AK48" s="233"/>
      <c r="AL48" s="233"/>
      <c r="AM48" s="233"/>
      <c r="AN48" s="232">
        <f t="shared" si="39"/>
        <v>3</v>
      </c>
      <c r="AP48" s="232">
        <v>1</v>
      </c>
      <c r="AQ48" s="233"/>
      <c r="AR48" s="233"/>
      <c r="AS48" s="233"/>
      <c r="AT48" s="233"/>
      <c r="AU48" s="233"/>
      <c r="AV48" s="232">
        <f t="shared" si="40"/>
        <v>1</v>
      </c>
      <c r="AX48" s="232">
        <v>0</v>
      </c>
      <c r="AY48" s="233"/>
      <c r="AZ48" s="233"/>
      <c r="BA48" s="233"/>
      <c r="BB48" s="233"/>
      <c r="BC48" s="233"/>
      <c r="BD48" s="232">
        <f t="shared" si="41"/>
        <v>0</v>
      </c>
      <c r="BF48" s="232"/>
      <c r="BG48" s="233"/>
      <c r="BH48" s="233"/>
      <c r="BI48" s="233"/>
      <c r="BJ48" s="233"/>
      <c r="BK48" s="233"/>
      <c r="BL48" s="232">
        <f t="shared" si="42"/>
        <v>0</v>
      </c>
      <c r="BN48" s="229">
        <f t="shared" si="45"/>
        <v>11</v>
      </c>
      <c r="BO48" s="229">
        <f t="shared" si="46"/>
        <v>0</v>
      </c>
      <c r="BP48" s="229">
        <f t="shared" si="47"/>
        <v>0</v>
      </c>
      <c r="BQ48" s="229">
        <f t="shared" si="48"/>
        <v>0</v>
      </c>
      <c r="BR48" s="229">
        <f t="shared" si="49"/>
        <v>0</v>
      </c>
      <c r="BS48" s="229">
        <f t="shared" si="50"/>
        <v>0</v>
      </c>
      <c r="BT48" s="232">
        <f t="shared" si="44"/>
        <v>11</v>
      </c>
      <c r="BV48" s="232">
        <v>10</v>
      </c>
      <c r="BW48" s="286">
        <f t="shared" si="9"/>
        <v>1</v>
      </c>
    </row>
    <row r="49" spans="1:75" x14ac:dyDescent="0.25">
      <c r="A49" s="191" t="s">
        <v>200</v>
      </c>
      <c r="B49" s="232">
        <v>2</v>
      </c>
      <c r="C49" s="233"/>
      <c r="D49" s="233"/>
      <c r="E49" s="233"/>
      <c r="F49" s="233"/>
      <c r="G49" s="233"/>
      <c r="H49" s="232">
        <f t="shared" si="35"/>
        <v>2</v>
      </c>
      <c r="J49" s="232">
        <v>3</v>
      </c>
      <c r="K49" s="233"/>
      <c r="L49" s="233"/>
      <c r="M49" s="233"/>
      <c r="N49" s="233"/>
      <c r="O49" s="233"/>
      <c r="P49" s="232">
        <f t="shared" si="36"/>
        <v>3</v>
      </c>
      <c r="R49" s="232">
        <v>1</v>
      </c>
      <c r="S49" s="233"/>
      <c r="T49" s="233"/>
      <c r="U49" s="233"/>
      <c r="V49" s="233"/>
      <c r="W49" s="233"/>
      <c r="X49" s="232">
        <f t="shared" si="37"/>
        <v>1</v>
      </c>
      <c r="Z49" s="232">
        <v>1</v>
      </c>
      <c r="AA49" s="233"/>
      <c r="AB49" s="233"/>
      <c r="AC49" s="233"/>
      <c r="AD49" s="233"/>
      <c r="AE49" s="233"/>
      <c r="AF49" s="232">
        <f t="shared" si="38"/>
        <v>1</v>
      </c>
      <c r="AH49" s="232">
        <v>4</v>
      </c>
      <c r="AI49" s="233"/>
      <c r="AJ49" s="233"/>
      <c r="AK49" s="233"/>
      <c r="AL49" s="233"/>
      <c r="AM49" s="233"/>
      <c r="AN49" s="232">
        <f t="shared" si="39"/>
        <v>4</v>
      </c>
      <c r="AP49" s="232">
        <v>1</v>
      </c>
      <c r="AQ49" s="233"/>
      <c r="AR49" s="233"/>
      <c r="AS49" s="233"/>
      <c r="AT49" s="233"/>
      <c r="AU49" s="233"/>
      <c r="AV49" s="232">
        <f t="shared" si="40"/>
        <v>1</v>
      </c>
      <c r="AX49" s="232">
        <v>0</v>
      </c>
      <c r="AY49" s="233"/>
      <c r="AZ49" s="233"/>
      <c r="BA49" s="233"/>
      <c r="BB49" s="233"/>
      <c r="BC49" s="233"/>
      <c r="BD49" s="232">
        <f t="shared" si="41"/>
        <v>0</v>
      </c>
      <c r="BF49" s="232">
        <v>1</v>
      </c>
      <c r="BG49" s="233"/>
      <c r="BH49" s="233"/>
      <c r="BI49" s="233"/>
      <c r="BJ49" s="233"/>
      <c r="BK49" s="233"/>
      <c r="BL49" s="232">
        <f t="shared" si="42"/>
        <v>1</v>
      </c>
      <c r="BN49" s="229">
        <f t="shared" si="45"/>
        <v>13</v>
      </c>
      <c r="BO49" s="229">
        <f t="shared" si="46"/>
        <v>0</v>
      </c>
      <c r="BP49" s="229">
        <f t="shared" si="47"/>
        <v>0</v>
      </c>
      <c r="BQ49" s="229">
        <f t="shared" si="48"/>
        <v>0</v>
      </c>
      <c r="BR49" s="229">
        <f t="shared" si="49"/>
        <v>0</v>
      </c>
      <c r="BS49" s="229">
        <f t="shared" si="50"/>
        <v>0</v>
      </c>
      <c r="BT49" s="232">
        <f t="shared" si="44"/>
        <v>13</v>
      </c>
      <c r="BV49" s="232">
        <v>13</v>
      </c>
      <c r="BW49" s="286">
        <f t="shared" si="9"/>
        <v>0</v>
      </c>
    </row>
    <row r="50" spans="1:75" x14ac:dyDescent="0.25">
      <c r="A50" s="191" t="s">
        <v>201</v>
      </c>
      <c r="B50" s="233">
        <v>4</v>
      </c>
      <c r="C50" s="233">
        <v>4</v>
      </c>
      <c r="D50" s="233"/>
      <c r="E50" s="233"/>
      <c r="F50" s="233"/>
      <c r="G50" s="233"/>
      <c r="H50" s="232">
        <f>SUM(B50:G50)</f>
        <v>8</v>
      </c>
      <c r="J50" s="233">
        <v>10</v>
      </c>
      <c r="K50" s="233">
        <v>12</v>
      </c>
      <c r="L50" s="233"/>
      <c r="M50" s="233"/>
      <c r="N50" s="233"/>
      <c r="O50" s="233"/>
      <c r="P50" s="232">
        <f>SUM(J50:O50)</f>
        <v>22</v>
      </c>
      <c r="R50" s="233">
        <v>7</v>
      </c>
      <c r="S50" s="233">
        <v>4</v>
      </c>
      <c r="T50" s="233"/>
      <c r="U50" s="233"/>
      <c r="V50" s="233"/>
      <c r="W50" s="233"/>
      <c r="X50" s="232">
        <f>SUM(R50:W50)</f>
        <v>11</v>
      </c>
      <c r="Z50" s="233">
        <v>5</v>
      </c>
      <c r="AA50" s="233">
        <v>5</v>
      </c>
      <c r="AB50" s="233"/>
      <c r="AC50" s="233"/>
      <c r="AD50" s="233"/>
      <c r="AE50" s="233"/>
      <c r="AF50" s="232">
        <f>SUM(Z50:AE50)</f>
        <v>10</v>
      </c>
      <c r="AH50" s="233">
        <v>5.5</v>
      </c>
      <c r="AI50" s="233">
        <v>12</v>
      </c>
      <c r="AJ50" s="233"/>
      <c r="AK50" s="233"/>
      <c r="AL50" s="233"/>
      <c r="AM50" s="233"/>
      <c r="AN50" s="232">
        <f>SUM(AH50:AM50)</f>
        <v>17.5</v>
      </c>
      <c r="AP50" s="233">
        <v>2</v>
      </c>
      <c r="AQ50" s="233">
        <v>0</v>
      </c>
      <c r="AR50" s="233"/>
      <c r="AS50" s="233"/>
      <c r="AT50" s="233">
        <v>2</v>
      </c>
      <c r="AU50" s="233"/>
      <c r="AV50" s="232">
        <f>SUM(AP50:AU50)</f>
        <v>4</v>
      </c>
      <c r="AX50" s="233">
        <v>2</v>
      </c>
      <c r="AY50" s="233">
        <v>1</v>
      </c>
      <c r="AZ50" s="233"/>
      <c r="BA50" s="233"/>
      <c r="BB50" s="233">
        <v>1</v>
      </c>
      <c r="BC50" s="233"/>
      <c r="BD50" s="232">
        <f>SUM(AX50:BC50)</f>
        <v>4</v>
      </c>
      <c r="BF50" s="233"/>
      <c r="BG50" s="233"/>
      <c r="BH50" s="233"/>
      <c r="BI50" s="233"/>
      <c r="BJ50" s="233"/>
      <c r="BK50" s="233"/>
      <c r="BL50" s="232">
        <f>SUM(BF50:BK50)</f>
        <v>0</v>
      </c>
      <c r="BN50" s="229">
        <f t="shared" si="45"/>
        <v>35.5</v>
      </c>
      <c r="BO50" s="229">
        <f t="shared" si="46"/>
        <v>38</v>
      </c>
      <c r="BP50" s="229">
        <f t="shared" si="47"/>
        <v>0</v>
      </c>
      <c r="BQ50" s="229">
        <f t="shared" si="48"/>
        <v>0</v>
      </c>
      <c r="BR50" s="229">
        <f t="shared" si="49"/>
        <v>3</v>
      </c>
      <c r="BS50" s="229">
        <f t="shared" si="50"/>
        <v>0</v>
      </c>
      <c r="BT50" s="232">
        <f>SUM(BN50:BS50)</f>
        <v>76.5</v>
      </c>
      <c r="BV50" s="232">
        <v>76.5</v>
      </c>
      <c r="BW50" s="286">
        <f t="shared" si="9"/>
        <v>0</v>
      </c>
    </row>
    <row r="51" spans="1:75" x14ac:dyDescent="0.25">
      <c r="A51" s="191" t="s">
        <v>202</v>
      </c>
      <c r="B51" s="233">
        <v>2</v>
      </c>
      <c r="C51" s="233"/>
      <c r="D51" s="233"/>
      <c r="E51" s="233"/>
      <c r="F51" s="233"/>
      <c r="G51" s="233"/>
      <c r="H51" s="232">
        <f t="shared" si="35"/>
        <v>2</v>
      </c>
      <c r="J51" s="233">
        <f>6+2</f>
        <v>8</v>
      </c>
      <c r="K51" s="233"/>
      <c r="L51" s="233"/>
      <c r="M51" s="233"/>
      <c r="N51" s="233"/>
      <c r="O51" s="233"/>
      <c r="P51" s="232">
        <f t="shared" si="36"/>
        <v>8</v>
      </c>
      <c r="R51" s="233">
        <v>3</v>
      </c>
      <c r="S51" s="233"/>
      <c r="T51" s="233"/>
      <c r="U51" s="233"/>
      <c r="V51" s="233"/>
      <c r="W51" s="233"/>
      <c r="X51" s="232">
        <f t="shared" si="37"/>
        <v>3</v>
      </c>
      <c r="Z51" s="233">
        <v>3</v>
      </c>
      <c r="AA51" s="233"/>
      <c r="AB51" s="233"/>
      <c r="AC51" s="233"/>
      <c r="AD51" s="233"/>
      <c r="AE51" s="233"/>
      <c r="AF51" s="232">
        <f t="shared" si="38"/>
        <v>3</v>
      </c>
      <c r="AH51" s="233">
        <f>8+1</f>
        <v>9</v>
      </c>
      <c r="AI51" s="233"/>
      <c r="AJ51" s="233"/>
      <c r="AK51" s="233"/>
      <c r="AL51" s="233"/>
      <c r="AM51" s="233"/>
      <c r="AN51" s="232">
        <f t="shared" si="39"/>
        <v>9</v>
      </c>
      <c r="AP51" s="233">
        <v>1.5</v>
      </c>
      <c r="AQ51" s="233"/>
      <c r="AR51" s="233"/>
      <c r="AS51" s="233"/>
      <c r="AT51" s="233"/>
      <c r="AU51" s="233"/>
      <c r="AV51" s="232">
        <f t="shared" si="40"/>
        <v>1.5</v>
      </c>
      <c r="AX51" s="233">
        <v>0</v>
      </c>
      <c r="AY51" s="233"/>
      <c r="AZ51" s="233"/>
      <c r="BA51" s="233"/>
      <c r="BB51" s="233"/>
      <c r="BC51" s="233"/>
      <c r="BD51" s="232">
        <f t="shared" si="41"/>
        <v>0</v>
      </c>
      <c r="BF51" s="233"/>
      <c r="BG51" s="233"/>
      <c r="BH51" s="233"/>
      <c r="BI51" s="233"/>
      <c r="BJ51" s="233"/>
      <c r="BK51" s="233"/>
      <c r="BL51" s="232">
        <f t="shared" si="42"/>
        <v>0</v>
      </c>
      <c r="BN51" s="229">
        <f t="shared" si="45"/>
        <v>26.5</v>
      </c>
      <c r="BO51" s="229">
        <f t="shared" si="46"/>
        <v>0</v>
      </c>
      <c r="BP51" s="229">
        <f t="shared" si="47"/>
        <v>0</v>
      </c>
      <c r="BQ51" s="229">
        <f t="shared" si="48"/>
        <v>0</v>
      </c>
      <c r="BR51" s="229">
        <f t="shared" si="49"/>
        <v>0</v>
      </c>
      <c r="BS51" s="229">
        <f t="shared" si="50"/>
        <v>0</v>
      </c>
      <c r="BT51" s="232">
        <f t="shared" ref="BT51:BT60" si="51">SUM(BN51:BS51)</f>
        <v>26.5</v>
      </c>
      <c r="BV51" s="232">
        <v>26.5</v>
      </c>
      <c r="BW51" s="286">
        <f t="shared" si="9"/>
        <v>0</v>
      </c>
    </row>
    <row r="52" spans="1:75" x14ac:dyDescent="0.25">
      <c r="A52" s="191" t="s">
        <v>323</v>
      </c>
      <c r="B52" s="233"/>
      <c r="C52" s="233"/>
      <c r="D52" s="233">
        <v>2</v>
      </c>
      <c r="E52" s="233"/>
      <c r="F52" s="233"/>
      <c r="G52" s="233"/>
      <c r="H52" s="232">
        <f t="shared" si="35"/>
        <v>2</v>
      </c>
      <c r="J52" s="233"/>
      <c r="K52" s="233"/>
      <c r="L52" s="233">
        <v>6</v>
      </c>
      <c r="M52" s="233"/>
      <c r="N52" s="233"/>
      <c r="O52" s="233"/>
      <c r="P52" s="232">
        <f t="shared" si="36"/>
        <v>6</v>
      </c>
      <c r="R52" s="233"/>
      <c r="S52" s="233"/>
      <c r="T52" s="233">
        <v>2</v>
      </c>
      <c r="U52" s="233"/>
      <c r="V52" s="233"/>
      <c r="W52" s="233"/>
      <c r="X52" s="232">
        <f t="shared" si="37"/>
        <v>2</v>
      </c>
      <c r="Z52" s="233"/>
      <c r="AA52" s="233"/>
      <c r="AB52" s="233">
        <v>2</v>
      </c>
      <c r="AC52" s="233"/>
      <c r="AD52" s="233"/>
      <c r="AE52" s="233"/>
      <c r="AF52" s="232">
        <f t="shared" si="38"/>
        <v>2</v>
      </c>
      <c r="AH52" s="233"/>
      <c r="AI52" s="233"/>
      <c r="AJ52" s="233">
        <v>4</v>
      </c>
      <c r="AK52" s="233"/>
      <c r="AL52" s="233"/>
      <c r="AM52" s="233"/>
      <c r="AN52" s="232">
        <f t="shared" si="39"/>
        <v>4</v>
      </c>
      <c r="AP52" s="233"/>
      <c r="AQ52" s="233"/>
      <c r="AR52" s="233">
        <v>1</v>
      </c>
      <c r="AS52" s="233"/>
      <c r="AT52" s="233"/>
      <c r="AU52" s="233"/>
      <c r="AV52" s="232">
        <f t="shared" si="40"/>
        <v>1</v>
      </c>
      <c r="AX52" s="233"/>
      <c r="AY52" s="233"/>
      <c r="AZ52" s="233">
        <v>0</v>
      </c>
      <c r="BA52" s="233"/>
      <c r="BB52" s="233"/>
      <c r="BC52" s="233"/>
      <c r="BD52" s="232">
        <f t="shared" si="41"/>
        <v>0</v>
      </c>
      <c r="BF52" s="233"/>
      <c r="BG52" s="233"/>
      <c r="BH52" s="233">
        <v>1</v>
      </c>
      <c r="BI52" s="233"/>
      <c r="BJ52" s="233"/>
      <c r="BK52" s="233"/>
      <c r="BL52" s="232">
        <f t="shared" si="42"/>
        <v>1</v>
      </c>
      <c r="BN52" s="229">
        <f t="shared" si="45"/>
        <v>0</v>
      </c>
      <c r="BO52" s="229">
        <f t="shared" si="46"/>
        <v>0</v>
      </c>
      <c r="BP52" s="229">
        <f t="shared" si="47"/>
        <v>18</v>
      </c>
      <c r="BQ52" s="229">
        <f t="shared" si="48"/>
        <v>0</v>
      </c>
      <c r="BR52" s="229">
        <f t="shared" si="49"/>
        <v>0</v>
      </c>
      <c r="BS52" s="229">
        <f t="shared" si="50"/>
        <v>0</v>
      </c>
      <c r="BT52" s="232">
        <f t="shared" si="51"/>
        <v>18</v>
      </c>
      <c r="BV52" s="232">
        <v>18</v>
      </c>
      <c r="BW52" s="286">
        <f t="shared" si="9"/>
        <v>0</v>
      </c>
    </row>
    <row r="53" spans="1:75" x14ac:dyDescent="0.25">
      <c r="A53" s="191" t="s">
        <v>203</v>
      </c>
      <c r="B53" s="233"/>
      <c r="C53" s="233"/>
      <c r="D53" s="233"/>
      <c r="E53" s="233"/>
      <c r="F53" s="233"/>
      <c r="G53" s="233"/>
      <c r="H53" s="232">
        <f t="shared" si="35"/>
        <v>0</v>
      </c>
      <c r="J53" s="233">
        <v>1</v>
      </c>
      <c r="K53" s="233"/>
      <c r="L53" s="233"/>
      <c r="M53" s="233"/>
      <c r="N53" s="233"/>
      <c r="O53" s="233"/>
      <c r="P53" s="232">
        <f t="shared" si="36"/>
        <v>1</v>
      </c>
      <c r="R53" s="233">
        <v>1</v>
      </c>
      <c r="S53" s="233"/>
      <c r="T53" s="233"/>
      <c r="U53" s="233"/>
      <c r="V53" s="233"/>
      <c r="W53" s="233"/>
      <c r="X53" s="232">
        <f t="shared" si="37"/>
        <v>1</v>
      </c>
      <c r="Z53" s="233"/>
      <c r="AA53" s="233"/>
      <c r="AB53" s="233"/>
      <c r="AC53" s="233"/>
      <c r="AD53" s="233"/>
      <c r="AE53" s="233"/>
      <c r="AF53" s="232">
        <f t="shared" si="38"/>
        <v>0</v>
      </c>
      <c r="AH53" s="233"/>
      <c r="AI53" s="233"/>
      <c r="AJ53" s="233"/>
      <c r="AK53" s="233"/>
      <c r="AL53" s="233"/>
      <c r="AM53" s="233"/>
      <c r="AN53" s="232">
        <f t="shared" si="39"/>
        <v>0</v>
      </c>
      <c r="AP53" s="233"/>
      <c r="AQ53" s="233"/>
      <c r="AR53" s="233"/>
      <c r="AS53" s="233"/>
      <c r="AT53" s="233"/>
      <c r="AU53" s="233">
        <v>0</v>
      </c>
      <c r="AV53" s="232">
        <f t="shared" si="40"/>
        <v>0</v>
      </c>
      <c r="AX53" s="233"/>
      <c r="AY53" s="233"/>
      <c r="AZ53" s="233"/>
      <c r="BA53" s="233"/>
      <c r="BB53" s="233"/>
      <c r="BC53" s="233">
        <v>0</v>
      </c>
      <c r="BD53" s="232">
        <f t="shared" si="41"/>
        <v>0</v>
      </c>
      <c r="BF53" s="233"/>
      <c r="BG53" s="233"/>
      <c r="BH53" s="233"/>
      <c r="BI53" s="233"/>
      <c r="BJ53" s="233"/>
      <c r="BK53" s="233"/>
      <c r="BL53" s="232">
        <f t="shared" si="42"/>
        <v>0</v>
      </c>
      <c r="BN53" s="229">
        <f t="shared" si="45"/>
        <v>2</v>
      </c>
      <c r="BO53" s="229">
        <f t="shared" si="46"/>
        <v>0</v>
      </c>
      <c r="BP53" s="229">
        <f t="shared" si="47"/>
        <v>0</v>
      </c>
      <c r="BQ53" s="229">
        <f t="shared" si="48"/>
        <v>0</v>
      </c>
      <c r="BR53" s="229">
        <f t="shared" si="49"/>
        <v>0</v>
      </c>
      <c r="BS53" s="229">
        <f t="shared" si="50"/>
        <v>0</v>
      </c>
      <c r="BT53" s="232">
        <f t="shared" si="51"/>
        <v>2</v>
      </c>
      <c r="BV53" s="232">
        <v>2</v>
      </c>
      <c r="BW53" s="286">
        <f t="shared" si="9"/>
        <v>0</v>
      </c>
    </row>
    <row r="54" spans="1:75" x14ac:dyDescent="0.25">
      <c r="A54" s="194" t="s">
        <v>204</v>
      </c>
      <c r="B54" s="233"/>
      <c r="C54" s="233">
        <v>1</v>
      </c>
      <c r="D54" s="233"/>
      <c r="E54" s="233"/>
      <c r="F54" s="233"/>
      <c r="G54" s="233"/>
      <c r="H54" s="232">
        <f t="shared" si="35"/>
        <v>1</v>
      </c>
      <c r="J54" s="233"/>
      <c r="K54" s="233">
        <v>1</v>
      </c>
      <c r="L54" s="233"/>
      <c r="M54" s="233"/>
      <c r="N54" s="233"/>
      <c r="O54" s="233"/>
      <c r="P54" s="232">
        <f t="shared" si="36"/>
        <v>1</v>
      </c>
      <c r="R54" s="233"/>
      <c r="S54" s="233">
        <v>1</v>
      </c>
      <c r="T54" s="233"/>
      <c r="U54" s="233"/>
      <c r="V54" s="233"/>
      <c r="W54" s="233"/>
      <c r="X54" s="232">
        <f t="shared" si="37"/>
        <v>1</v>
      </c>
      <c r="Z54" s="233"/>
      <c r="AA54" s="233">
        <v>1</v>
      </c>
      <c r="AB54" s="233"/>
      <c r="AC54" s="233"/>
      <c r="AD54" s="233"/>
      <c r="AE54" s="233"/>
      <c r="AF54" s="232">
        <f t="shared" si="38"/>
        <v>1</v>
      </c>
      <c r="AH54" s="233"/>
      <c r="AI54" s="233"/>
      <c r="AJ54" s="233"/>
      <c r="AK54" s="233"/>
      <c r="AL54" s="233"/>
      <c r="AM54" s="233"/>
      <c r="AN54" s="232">
        <f t="shared" si="39"/>
        <v>0</v>
      </c>
      <c r="AP54" s="233"/>
      <c r="AQ54" s="233">
        <v>1</v>
      </c>
      <c r="AR54" s="233"/>
      <c r="AS54" s="233"/>
      <c r="AT54" s="233"/>
      <c r="AU54" s="233"/>
      <c r="AV54" s="232">
        <f t="shared" si="40"/>
        <v>1</v>
      </c>
      <c r="AX54" s="233"/>
      <c r="AY54" s="233"/>
      <c r="AZ54" s="233"/>
      <c r="BA54" s="233"/>
      <c r="BB54" s="233"/>
      <c r="BC54" s="233"/>
      <c r="BD54" s="232">
        <f t="shared" si="41"/>
        <v>0</v>
      </c>
      <c r="BF54" s="233"/>
      <c r="BG54" s="233"/>
      <c r="BH54" s="233"/>
      <c r="BI54" s="233"/>
      <c r="BJ54" s="233"/>
      <c r="BK54" s="233"/>
      <c r="BL54" s="232">
        <f t="shared" si="42"/>
        <v>0</v>
      </c>
      <c r="BN54" s="229">
        <f t="shared" si="45"/>
        <v>0</v>
      </c>
      <c r="BO54" s="229">
        <f t="shared" si="46"/>
        <v>5</v>
      </c>
      <c r="BP54" s="229">
        <f t="shared" si="47"/>
        <v>0</v>
      </c>
      <c r="BQ54" s="229">
        <f t="shared" si="48"/>
        <v>0</v>
      </c>
      <c r="BR54" s="229">
        <f t="shared" si="49"/>
        <v>0</v>
      </c>
      <c r="BS54" s="229">
        <f t="shared" si="50"/>
        <v>0</v>
      </c>
      <c r="BT54" s="232">
        <f t="shared" si="51"/>
        <v>5</v>
      </c>
      <c r="BV54" s="232">
        <v>5</v>
      </c>
      <c r="BW54" s="286">
        <f t="shared" si="9"/>
        <v>0</v>
      </c>
    </row>
    <row r="55" spans="1:75" x14ac:dyDescent="0.25">
      <c r="A55" s="194" t="s">
        <v>205</v>
      </c>
      <c r="B55" s="233"/>
      <c r="C55" s="233"/>
      <c r="D55" s="233"/>
      <c r="E55" s="233"/>
      <c r="F55" s="233"/>
      <c r="G55" s="233"/>
      <c r="H55" s="232">
        <f t="shared" si="35"/>
        <v>0</v>
      </c>
      <c r="J55" s="233"/>
      <c r="K55" s="233">
        <v>1</v>
      </c>
      <c r="L55" s="233"/>
      <c r="M55" s="233"/>
      <c r="N55" s="233"/>
      <c r="O55" s="233"/>
      <c r="P55" s="232">
        <f t="shared" si="36"/>
        <v>1</v>
      </c>
      <c r="R55" s="233"/>
      <c r="S55" s="233"/>
      <c r="T55" s="233"/>
      <c r="U55" s="233"/>
      <c r="V55" s="233"/>
      <c r="W55" s="233"/>
      <c r="X55" s="232">
        <f t="shared" si="37"/>
        <v>0</v>
      </c>
      <c r="Z55" s="233"/>
      <c r="AA55" s="233">
        <v>1</v>
      </c>
      <c r="AB55" s="233"/>
      <c r="AC55" s="233"/>
      <c r="AD55" s="233"/>
      <c r="AE55" s="233"/>
      <c r="AF55" s="232">
        <f t="shared" si="38"/>
        <v>1</v>
      </c>
      <c r="AH55" s="233"/>
      <c r="AI55" s="233"/>
      <c r="AJ55" s="233"/>
      <c r="AK55" s="233"/>
      <c r="AL55" s="233"/>
      <c r="AM55" s="233"/>
      <c r="AN55" s="232">
        <f t="shared" si="39"/>
        <v>0</v>
      </c>
      <c r="AP55" s="233"/>
      <c r="AQ55" s="233"/>
      <c r="AR55" s="233"/>
      <c r="AS55" s="233"/>
      <c r="AT55" s="233"/>
      <c r="AU55" s="233"/>
      <c r="AV55" s="232">
        <f t="shared" si="40"/>
        <v>0</v>
      </c>
      <c r="AX55" s="233"/>
      <c r="AY55" s="233"/>
      <c r="AZ55" s="233"/>
      <c r="BA55" s="233"/>
      <c r="BB55" s="233"/>
      <c r="BC55" s="233"/>
      <c r="BD55" s="232">
        <f t="shared" si="41"/>
        <v>0</v>
      </c>
      <c r="BF55" s="233"/>
      <c r="BG55" s="233"/>
      <c r="BH55" s="233"/>
      <c r="BI55" s="233"/>
      <c r="BJ55" s="233"/>
      <c r="BK55" s="233"/>
      <c r="BL55" s="232">
        <f t="shared" si="42"/>
        <v>0</v>
      </c>
      <c r="BN55" s="229">
        <f t="shared" si="45"/>
        <v>0</v>
      </c>
      <c r="BO55" s="229">
        <f t="shared" si="46"/>
        <v>2</v>
      </c>
      <c r="BP55" s="229">
        <f t="shared" si="47"/>
        <v>0</v>
      </c>
      <c r="BQ55" s="229">
        <f t="shared" si="48"/>
        <v>0</v>
      </c>
      <c r="BR55" s="229">
        <f t="shared" si="49"/>
        <v>0</v>
      </c>
      <c r="BS55" s="229">
        <f t="shared" si="50"/>
        <v>0</v>
      </c>
      <c r="BT55" s="232">
        <f t="shared" si="51"/>
        <v>2</v>
      </c>
      <c r="BV55" s="232">
        <v>2</v>
      </c>
      <c r="BW55" s="286">
        <f t="shared" si="9"/>
        <v>0</v>
      </c>
    </row>
    <row r="56" spans="1:75" x14ac:dyDescent="0.25">
      <c r="A56" s="194" t="s">
        <v>206</v>
      </c>
      <c r="B56" s="233"/>
      <c r="C56" s="233"/>
      <c r="D56" s="233"/>
      <c r="E56" s="233"/>
      <c r="F56" s="233"/>
      <c r="G56" s="233"/>
      <c r="H56" s="232">
        <f t="shared" si="35"/>
        <v>0</v>
      </c>
      <c r="J56" s="233"/>
      <c r="K56" s="233">
        <v>1</v>
      </c>
      <c r="L56" s="233"/>
      <c r="M56" s="233"/>
      <c r="N56" s="233"/>
      <c r="O56" s="233"/>
      <c r="P56" s="232">
        <f t="shared" si="36"/>
        <v>1</v>
      </c>
      <c r="R56" s="233"/>
      <c r="S56" s="233">
        <v>0.5</v>
      </c>
      <c r="T56" s="233"/>
      <c r="U56" s="233"/>
      <c r="V56" s="233"/>
      <c r="W56" s="233"/>
      <c r="X56" s="232">
        <f t="shared" si="37"/>
        <v>0.5</v>
      </c>
      <c r="Z56" s="233"/>
      <c r="AA56" s="233">
        <v>0.5</v>
      </c>
      <c r="AB56" s="233"/>
      <c r="AC56" s="233"/>
      <c r="AD56" s="233"/>
      <c r="AE56" s="233"/>
      <c r="AF56" s="232">
        <f t="shared" si="38"/>
        <v>0.5</v>
      </c>
      <c r="AH56" s="233"/>
      <c r="AI56" s="233">
        <v>1</v>
      </c>
      <c r="AJ56" s="233"/>
      <c r="AK56" s="233"/>
      <c r="AL56" s="233"/>
      <c r="AM56" s="233"/>
      <c r="AN56" s="232">
        <f t="shared" si="39"/>
        <v>1</v>
      </c>
      <c r="AP56" s="233"/>
      <c r="AQ56" s="233"/>
      <c r="AR56" s="233"/>
      <c r="AS56" s="233"/>
      <c r="AT56" s="233"/>
      <c r="AU56" s="233"/>
      <c r="AV56" s="232">
        <f t="shared" si="40"/>
        <v>0</v>
      </c>
      <c r="AX56" s="233"/>
      <c r="AY56" s="233"/>
      <c r="AZ56" s="233"/>
      <c r="BA56" s="233"/>
      <c r="BB56" s="233"/>
      <c r="BC56" s="233"/>
      <c r="BD56" s="232">
        <f t="shared" si="41"/>
        <v>0</v>
      </c>
      <c r="BF56" s="233"/>
      <c r="BG56" s="233"/>
      <c r="BH56" s="233"/>
      <c r="BI56" s="233"/>
      <c r="BJ56" s="233"/>
      <c r="BK56" s="233"/>
      <c r="BL56" s="232">
        <f t="shared" si="42"/>
        <v>0</v>
      </c>
      <c r="BN56" s="229">
        <f t="shared" si="45"/>
        <v>0</v>
      </c>
      <c r="BO56" s="229">
        <f t="shared" si="46"/>
        <v>3</v>
      </c>
      <c r="BP56" s="229">
        <f t="shared" si="47"/>
        <v>0</v>
      </c>
      <c r="BQ56" s="229">
        <f t="shared" si="48"/>
        <v>0</v>
      </c>
      <c r="BR56" s="229">
        <f t="shared" si="49"/>
        <v>0</v>
      </c>
      <c r="BS56" s="229">
        <f t="shared" si="50"/>
        <v>0</v>
      </c>
      <c r="BT56" s="232">
        <f t="shared" si="51"/>
        <v>3</v>
      </c>
      <c r="BV56" s="232">
        <v>3</v>
      </c>
      <c r="BW56" s="286">
        <f t="shared" si="9"/>
        <v>0</v>
      </c>
    </row>
    <row r="57" spans="1:75" x14ac:dyDescent="0.25">
      <c r="A57" s="194" t="s">
        <v>207</v>
      </c>
      <c r="B57" s="233"/>
      <c r="C57" s="233"/>
      <c r="D57" s="233"/>
      <c r="E57" s="233"/>
      <c r="F57" s="233"/>
      <c r="G57" s="233"/>
      <c r="H57" s="232">
        <f t="shared" si="35"/>
        <v>0</v>
      </c>
      <c r="J57" s="233"/>
      <c r="K57" s="233">
        <v>0</v>
      </c>
      <c r="L57" s="233"/>
      <c r="M57" s="233"/>
      <c r="N57" s="233"/>
      <c r="O57" s="233"/>
      <c r="P57" s="232">
        <f t="shared" si="36"/>
        <v>0</v>
      </c>
      <c r="R57" s="233"/>
      <c r="S57" s="233"/>
      <c r="T57" s="233"/>
      <c r="U57" s="233"/>
      <c r="V57" s="233"/>
      <c r="W57" s="233"/>
      <c r="X57" s="232">
        <f t="shared" si="37"/>
        <v>0</v>
      </c>
      <c r="Z57" s="233"/>
      <c r="AA57" s="233">
        <v>0.33</v>
      </c>
      <c r="AB57" s="233"/>
      <c r="AC57" s="233"/>
      <c r="AD57" s="233"/>
      <c r="AE57" s="233"/>
      <c r="AF57" s="232">
        <f t="shared" si="38"/>
        <v>0.33</v>
      </c>
      <c r="AH57" s="233"/>
      <c r="AI57" s="233">
        <v>0.5</v>
      </c>
      <c r="AJ57" s="233"/>
      <c r="AK57" s="233"/>
      <c r="AL57" s="233"/>
      <c r="AM57" s="233"/>
      <c r="AN57" s="232">
        <f t="shared" si="39"/>
        <v>0.5</v>
      </c>
      <c r="AP57" s="233"/>
      <c r="AQ57" s="233"/>
      <c r="AR57" s="233"/>
      <c r="AS57" s="233"/>
      <c r="AT57" s="233"/>
      <c r="AU57" s="233"/>
      <c r="AV57" s="232">
        <f t="shared" si="40"/>
        <v>0</v>
      </c>
      <c r="AX57" s="233"/>
      <c r="AY57" s="233"/>
      <c r="AZ57" s="233"/>
      <c r="BA57" s="233"/>
      <c r="BB57" s="233"/>
      <c r="BC57" s="233"/>
      <c r="BD57" s="232">
        <f t="shared" si="41"/>
        <v>0</v>
      </c>
      <c r="BF57" s="233"/>
      <c r="BG57" s="233"/>
      <c r="BH57" s="233"/>
      <c r="BI57" s="233"/>
      <c r="BJ57" s="233"/>
      <c r="BK57" s="233"/>
      <c r="BL57" s="232">
        <f t="shared" si="42"/>
        <v>0</v>
      </c>
      <c r="BN57" s="229">
        <f t="shared" si="45"/>
        <v>0</v>
      </c>
      <c r="BO57" s="229">
        <f t="shared" si="46"/>
        <v>0.83000000000000007</v>
      </c>
      <c r="BP57" s="229">
        <f t="shared" si="47"/>
        <v>0</v>
      </c>
      <c r="BQ57" s="229">
        <f t="shared" si="48"/>
        <v>0</v>
      </c>
      <c r="BR57" s="229">
        <f t="shared" si="49"/>
        <v>0</v>
      </c>
      <c r="BS57" s="229">
        <f t="shared" si="50"/>
        <v>0</v>
      </c>
      <c r="BT57" s="232">
        <f t="shared" si="51"/>
        <v>0.83000000000000007</v>
      </c>
      <c r="BV57" s="232">
        <v>0.83000000000000007</v>
      </c>
      <c r="BW57" s="286">
        <f t="shared" si="9"/>
        <v>0</v>
      </c>
    </row>
    <row r="58" spans="1:75" x14ac:dyDescent="0.25">
      <c r="A58" s="194" t="s">
        <v>208</v>
      </c>
      <c r="B58" s="233"/>
      <c r="C58" s="233"/>
      <c r="D58" s="233"/>
      <c r="E58" s="233"/>
      <c r="F58" s="233"/>
      <c r="G58" s="233"/>
      <c r="H58" s="232">
        <f t="shared" si="35"/>
        <v>0</v>
      </c>
      <c r="J58" s="233">
        <v>1</v>
      </c>
      <c r="K58" s="233"/>
      <c r="L58" s="233"/>
      <c r="M58" s="233"/>
      <c r="N58" s="233"/>
      <c r="O58" s="233"/>
      <c r="P58" s="232">
        <f t="shared" si="36"/>
        <v>1</v>
      </c>
      <c r="R58" s="233">
        <v>0.5</v>
      </c>
      <c r="S58" s="233"/>
      <c r="T58" s="233"/>
      <c r="U58" s="233"/>
      <c r="V58" s="233"/>
      <c r="W58" s="233"/>
      <c r="X58" s="232">
        <f t="shared" si="37"/>
        <v>0.5</v>
      </c>
      <c r="Z58" s="233">
        <v>0.5</v>
      </c>
      <c r="AA58" s="233"/>
      <c r="AB58" s="233"/>
      <c r="AC58" s="233"/>
      <c r="AD58" s="233"/>
      <c r="AE58" s="233"/>
      <c r="AF58" s="232">
        <f t="shared" si="38"/>
        <v>0.5</v>
      </c>
      <c r="AH58" s="233">
        <v>1</v>
      </c>
      <c r="AI58" s="233"/>
      <c r="AJ58" s="233"/>
      <c r="AK58" s="233"/>
      <c r="AL58" s="233"/>
      <c r="AM58" s="233"/>
      <c r="AN58" s="232">
        <f t="shared" si="39"/>
        <v>1</v>
      </c>
      <c r="AP58" s="233"/>
      <c r="AQ58" s="233"/>
      <c r="AR58" s="233"/>
      <c r="AS58" s="233"/>
      <c r="AT58" s="233"/>
      <c r="AU58" s="233"/>
      <c r="AV58" s="232">
        <f t="shared" si="40"/>
        <v>0</v>
      </c>
      <c r="AX58" s="233"/>
      <c r="AY58" s="233"/>
      <c r="AZ58" s="233"/>
      <c r="BA58" s="233"/>
      <c r="BB58" s="233"/>
      <c r="BC58" s="233"/>
      <c r="BD58" s="232">
        <f t="shared" si="41"/>
        <v>0</v>
      </c>
      <c r="BF58" s="233"/>
      <c r="BG58" s="233"/>
      <c r="BH58" s="233"/>
      <c r="BI58" s="233"/>
      <c r="BJ58" s="233"/>
      <c r="BK58" s="233"/>
      <c r="BL58" s="232">
        <f t="shared" si="42"/>
        <v>0</v>
      </c>
      <c r="BN58" s="229">
        <f t="shared" si="45"/>
        <v>3</v>
      </c>
      <c r="BO58" s="229">
        <f t="shared" si="46"/>
        <v>0</v>
      </c>
      <c r="BP58" s="229">
        <f t="shared" si="47"/>
        <v>0</v>
      </c>
      <c r="BQ58" s="229">
        <f t="shared" si="48"/>
        <v>0</v>
      </c>
      <c r="BR58" s="229">
        <f t="shared" si="49"/>
        <v>0</v>
      </c>
      <c r="BS58" s="229">
        <f t="shared" si="50"/>
        <v>0</v>
      </c>
      <c r="BT58" s="232">
        <f t="shared" si="51"/>
        <v>3</v>
      </c>
      <c r="BV58" s="232">
        <v>3</v>
      </c>
      <c r="BW58" s="286">
        <f t="shared" si="9"/>
        <v>0</v>
      </c>
    </row>
    <row r="59" spans="1:75" x14ac:dyDescent="0.25">
      <c r="A59" s="194" t="s">
        <v>209</v>
      </c>
      <c r="B59" s="233">
        <v>1</v>
      </c>
      <c r="C59" s="233"/>
      <c r="D59" s="233"/>
      <c r="E59" s="233"/>
      <c r="F59" s="233"/>
      <c r="G59" s="233"/>
      <c r="H59" s="232">
        <f t="shared" si="35"/>
        <v>1</v>
      </c>
      <c r="J59" s="233">
        <v>3</v>
      </c>
      <c r="K59" s="233"/>
      <c r="L59" s="233"/>
      <c r="M59" s="233"/>
      <c r="N59" s="233"/>
      <c r="O59" s="233"/>
      <c r="P59" s="232">
        <f t="shared" si="36"/>
        <v>3</v>
      </c>
      <c r="R59" s="233">
        <v>1</v>
      </c>
      <c r="S59" s="233"/>
      <c r="T59" s="233"/>
      <c r="U59" s="233"/>
      <c r="V59" s="233"/>
      <c r="W59" s="233"/>
      <c r="X59" s="232">
        <f t="shared" si="37"/>
        <v>1</v>
      </c>
      <c r="Z59" s="233">
        <v>2</v>
      </c>
      <c r="AA59" s="233"/>
      <c r="AB59" s="233"/>
      <c r="AC59" s="233"/>
      <c r="AD59" s="233"/>
      <c r="AE59" s="233"/>
      <c r="AF59" s="232">
        <f t="shared" si="38"/>
        <v>2</v>
      </c>
      <c r="AH59" s="233">
        <v>4</v>
      </c>
      <c r="AI59" s="233"/>
      <c r="AJ59" s="233"/>
      <c r="AK59" s="233"/>
      <c r="AL59" s="233"/>
      <c r="AM59" s="233"/>
      <c r="AN59" s="232">
        <f t="shared" si="39"/>
        <v>4</v>
      </c>
      <c r="AP59" s="233">
        <v>0</v>
      </c>
      <c r="AQ59" s="233"/>
      <c r="AR59" s="233"/>
      <c r="AS59" s="233"/>
      <c r="AT59" s="233"/>
      <c r="AU59" s="233"/>
      <c r="AV59" s="232">
        <f t="shared" si="40"/>
        <v>0</v>
      </c>
      <c r="AX59" s="233">
        <v>0</v>
      </c>
      <c r="AY59" s="233"/>
      <c r="AZ59" s="233"/>
      <c r="BA59" s="233"/>
      <c r="BB59" s="233"/>
      <c r="BC59" s="233"/>
      <c r="BD59" s="232">
        <f t="shared" si="41"/>
        <v>0</v>
      </c>
      <c r="BF59" s="233"/>
      <c r="BG59" s="233"/>
      <c r="BH59" s="233"/>
      <c r="BI59" s="233"/>
      <c r="BJ59" s="233"/>
      <c r="BK59" s="233"/>
      <c r="BL59" s="232">
        <f t="shared" si="42"/>
        <v>0</v>
      </c>
      <c r="BN59" s="229">
        <f t="shared" si="45"/>
        <v>11</v>
      </c>
      <c r="BO59" s="229">
        <f t="shared" si="46"/>
        <v>0</v>
      </c>
      <c r="BP59" s="229">
        <f t="shared" si="47"/>
        <v>0</v>
      </c>
      <c r="BQ59" s="229">
        <f t="shared" si="48"/>
        <v>0</v>
      </c>
      <c r="BR59" s="229">
        <f t="shared" si="49"/>
        <v>0</v>
      </c>
      <c r="BS59" s="229">
        <f t="shared" si="50"/>
        <v>0</v>
      </c>
      <c r="BT59" s="232">
        <f t="shared" si="51"/>
        <v>11</v>
      </c>
      <c r="BV59" s="232">
        <v>11</v>
      </c>
      <c r="BW59" s="286">
        <f t="shared" si="9"/>
        <v>0</v>
      </c>
    </row>
    <row r="60" spans="1:75" x14ac:dyDescent="0.25">
      <c r="A60" s="191" t="s">
        <v>210</v>
      </c>
      <c r="B60" s="232"/>
      <c r="C60" s="232"/>
      <c r="D60" s="232"/>
      <c r="E60" s="232"/>
      <c r="F60" s="232"/>
      <c r="G60" s="232"/>
      <c r="H60" s="232">
        <f t="shared" si="35"/>
        <v>0</v>
      </c>
      <c r="J60" s="232">
        <v>1</v>
      </c>
      <c r="K60" s="232"/>
      <c r="L60" s="232"/>
      <c r="M60" s="232"/>
      <c r="N60" s="232"/>
      <c r="O60" s="232"/>
      <c r="P60" s="232">
        <f t="shared" si="36"/>
        <v>1</v>
      </c>
      <c r="R60" s="232"/>
      <c r="S60" s="232"/>
      <c r="T60" s="232"/>
      <c r="U60" s="232"/>
      <c r="V60" s="232"/>
      <c r="W60" s="232"/>
      <c r="X60" s="232">
        <f t="shared" si="37"/>
        <v>0</v>
      </c>
      <c r="Z60" s="232">
        <v>1</v>
      </c>
      <c r="AA60" s="232"/>
      <c r="AB60" s="232"/>
      <c r="AC60" s="232"/>
      <c r="AD60" s="232"/>
      <c r="AE60" s="232"/>
      <c r="AF60" s="232">
        <f t="shared" si="38"/>
        <v>1</v>
      </c>
      <c r="AH60" s="232">
        <v>2</v>
      </c>
      <c r="AI60" s="232"/>
      <c r="AJ60" s="232"/>
      <c r="AK60" s="232"/>
      <c r="AL60" s="232"/>
      <c r="AM60" s="232"/>
      <c r="AN60" s="232">
        <f t="shared" si="39"/>
        <v>2</v>
      </c>
      <c r="AP60" s="232">
        <v>0</v>
      </c>
      <c r="AQ60" s="232"/>
      <c r="AR60" s="232"/>
      <c r="AS60" s="232"/>
      <c r="AT60" s="232"/>
      <c r="AU60" s="232"/>
      <c r="AV60" s="232">
        <f t="shared" si="40"/>
        <v>0</v>
      </c>
      <c r="AX60" s="232">
        <v>0</v>
      </c>
      <c r="AY60" s="232"/>
      <c r="AZ60" s="232"/>
      <c r="BA60" s="232"/>
      <c r="BB60" s="232"/>
      <c r="BC60" s="232"/>
      <c r="BD60" s="232">
        <f t="shared" si="41"/>
        <v>0</v>
      </c>
      <c r="BF60" s="232"/>
      <c r="BG60" s="232"/>
      <c r="BH60" s="232"/>
      <c r="BI60" s="232"/>
      <c r="BJ60" s="232"/>
      <c r="BK60" s="232"/>
      <c r="BL60" s="232">
        <f t="shared" si="42"/>
        <v>0</v>
      </c>
      <c r="BN60" s="229">
        <f t="shared" si="45"/>
        <v>4</v>
      </c>
      <c r="BO60" s="229">
        <f t="shared" si="46"/>
        <v>0</v>
      </c>
      <c r="BP60" s="229">
        <f t="shared" si="47"/>
        <v>0</v>
      </c>
      <c r="BQ60" s="229">
        <f t="shared" si="48"/>
        <v>0</v>
      </c>
      <c r="BR60" s="229">
        <f t="shared" si="49"/>
        <v>0</v>
      </c>
      <c r="BS60" s="229">
        <f t="shared" si="50"/>
        <v>0</v>
      </c>
      <c r="BT60" s="232">
        <f t="shared" si="51"/>
        <v>4</v>
      </c>
      <c r="BV60" s="232">
        <v>4</v>
      </c>
      <c r="BW60" s="286">
        <f t="shared" si="9"/>
        <v>0</v>
      </c>
    </row>
    <row r="61" spans="1:75" x14ac:dyDescent="0.25">
      <c r="A61" s="189" t="s">
        <v>211</v>
      </c>
      <c r="B61" s="234">
        <f t="shared" ref="B61:H61" si="52">SUM(B39:B60)</f>
        <v>18</v>
      </c>
      <c r="C61" s="234">
        <f t="shared" si="52"/>
        <v>5</v>
      </c>
      <c r="D61" s="234">
        <f t="shared" si="52"/>
        <v>2</v>
      </c>
      <c r="E61" s="234">
        <f t="shared" si="52"/>
        <v>0</v>
      </c>
      <c r="F61" s="234">
        <f t="shared" si="52"/>
        <v>1</v>
      </c>
      <c r="G61" s="234">
        <f t="shared" si="52"/>
        <v>0</v>
      </c>
      <c r="H61" s="234">
        <f t="shared" si="52"/>
        <v>26</v>
      </c>
      <c r="J61" s="234">
        <f t="shared" ref="J61:P61" si="53">SUM(J39:J60)</f>
        <v>56</v>
      </c>
      <c r="K61" s="234">
        <f t="shared" si="53"/>
        <v>15</v>
      </c>
      <c r="L61" s="234">
        <f t="shared" si="53"/>
        <v>6</v>
      </c>
      <c r="M61" s="234">
        <f t="shared" si="53"/>
        <v>0</v>
      </c>
      <c r="N61" s="234">
        <f t="shared" si="53"/>
        <v>0</v>
      </c>
      <c r="O61" s="234">
        <f t="shared" si="53"/>
        <v>0</v>
      </c>
      <c r="P61" s="234">
        <f t="shared" si="53"/>
        <v>77</v>
      </c>
      <c r="R61" s="234">
        <f t="shared" ref="R61:X61" si="54">SUM(R39:R60)</f>
        <v>23.5</v>
      </c>
      <c r="S61" s="234">
        <f t="shared" si="54"/>
        <v>5.5</v>
      </c>
      <c r="T61" s="234">
        <f t="shared" si="54"/>
        <v>2</v>
      </c>
      <c r="U61" s="234">
        <f t="shared" si="54"/>
        <v>0</v>
      </c>
      <c r="V61" s="234">
        <f t="shared" si="54"/>
        <v>0</v>
      </c>
      <c r="W61" s="234">
        <f t="shared" si="54"/>
        <v>0</v>
      </c>
      <c r="X61" s="234">
        <f t="shared" si="54"/>
        <v>31</v>
      </c>
      <c r="Z61" s="234">
        <f t="shared" ref="Z61:AF61" si="55">SUM(Z39:Z60)</f>
        <v>21.5</v>
      </c>
      <c r="AA61" s="234">
        <f t="shared" si="55"/>
        <v>7.83</v>
      </c>
      <c r="AB61" s="234">
        <f t="shared" si="55"/>
        <v>2</v>
      </c>
      <c r="AC61" s="234">
        <f t="shared" si="55"/>
        <v>0</v>
      </c>
      <c r="AD61" s="234">
        <f t="shared" si="55"/>
        <v>0</v>
      </c>
      <c r="AE61" s="234">
        <f t="shared" si="55"/>
        <v>0</v>
      </c>
      <c r="AF61" s="234">
        <f t="shared" si="55"/>
        <v>31.33</v>
      </c>
      <c r="AH61" s="234">
        <f t="shared" ref="AH61:AN61" si="56">SUM(AH39:AH60)</f>
        <v>47.5</v>
      </c>
      <c r="AI61" s="234">
        <f t="shared" si="56"/>
        <v>13.5</v>
      </c>
      <c r="AJ61" s="234">
        <f t="shared" si="56"/>
        <v>4</v>
      </c>
      <c r="AK61" s="234">
        <f t="shared" si="56"/>
        <v>0</v>
      </c>
      <c r="AL61" s="234">
        <f t="shared" si="56"/>
        <v>0</v>
      </c>
      <c r="AM61" s="234">
        <f t="shared" si="56"/>
        <v>0</v>
      </c>
      <c r="AN61" s="234">
        <f t="shared" si="56"/>
        <v>65</v>
      </c>
      <c r="AP61" s="234">
        <f t="shared" ref="AP61:AV61" si="57">SUM(AP39:AP60)</f>
        <v>8.5</v>
      </c>
      <c r="AQ61" s="234">
        <f t="shared" si="57"/>
        <v>1</v>
      </c>
      <c r="AR61" s="234">
        <f t="shared" si="57"/>
        <v>1</v>
      </c>
      <c r="AS61" s="234">
        <f t="shared" si="57"/>
        <v>0</v>
      </c>
      <c r="AT61" s="234">
        <f t="shared" si="57"/>
        <v>2</v>
      </c>
      <c r="AU61" s="234">
        <f t="shared" si="57"/>
        <v>0</v>
      </c>
      <c r="AV61" s="234">
        <f t="shared" si="57"/>
        <v>12.5</v>
      </c>
      <c r="AX61" s="234">
        <f t="shared" ref="AX61:BD61" si="58">SUM(AX39:AX60)</f>
        <v>3</v>
      </c>
      <c r="AY61" s="234">
        <f t="shared" si="58"/>
        <v>1</v>
      </c>
      <c r="AZ61" s="234">
        <f t="shared" si="58"/>
        <v>0</v>
      </c>
      <c r="BA61" s="234">
        <f t="shared" si="58"/>
        <v>0</v>
      </c>
      <c r="BB61" s="234">
        <f t="shared" si="58"/>
        <v>1</v>
      </c>
      <c r="BC61" s="234">
        <f t="shared" si="58"/>
        <v>0</v>
      </c>
      <c r="BD61" s="234">
        <f t="shared" si="58"/>
        <v>5</v>
      </c>
      <c r="BF61" s="234">
        <f t="shared" ref="BF61:BL61" si="59">SUM(BF39:BF60)</f>
        <v>3</v>
      </c>
      <c r="BG61" s="234">
        <f t="shared" si="59"/>
        <v>0</v>
      </c>
      <c r="BH61" s="234">
        <f t="shared" si="59"/>
        <v>1</v>
      </c>
      <c r="BI61" s="234">
        <f t="shared" si="59"/>
        <v>0</v>
      </c>
      <c r="BJ61" s="234">
        <f t="shared" si="59"/>
        <v>1</v>
      </c>
      <c r="BK61" s="234">
        <f t="shared" si="59"/>
        <v>0</v>
      </c>
      <c r="BL61" s="234">
        <f t="shared" si="59"/>
        <v>5</v>
      </c>
      <c r="BN61" s="234">
        <f t="shared" ref="BN61:BT61" si="60">SUM(BN39:BN60)</f>
        <v>181</v>
      </c>
      <c r="BO61" s="234">
        <f t="shared" si="60"/>
        <v>48.83</v>
      </c>
      <c r="BP61" s="234">
        <f t="shared" si="60"/>
        <v>18</v>
      </c>
      <c r="BQ61" s="234">
        <f t="shared" si="60"/>
        <v>0</v>
      </c>
      <c r="BR61" s="234">
        <f t="shared" si="60"/>
        <v>5</v>
      </c>
      <c r="BS61" s="234">
        <f t="shared" si="60"/>
        <v>0</v>
      </c>
      <c r="BT61" s="234">
        <f t="shared" si="60"/>
        <v>252.83</v>
      </c>
      <c r="BV61" s="234">
        <v>251.83</v>
      </c>
      <c r="BW61" s="286">
        <f t="shared" si="9"/>
        <v>1</v>
      </c>
    </row>
    <row r="62" spans="1:75" ht="16.5" thickBot="1" x14ac:dyDescent="0.3">
      <c r="A62" s="195"/>
      <c r="B62" s="235"/>
      <c r="C62" s="235"/>
      <c r="D62" s="235"/>
      <c r="E62" s="235"/>
      <c r="F62" s="235"/>
      <c r="G62" s="235"/>
      <c r="H62" s="235"/>
      <c r="J62" s="235"/>
      <c r="K62" s="235"/>
      <c r="L62" s="235"/>
      <c r="M62" s="235"/>
      <c r="N62" s="235"/>
      <c r="O62" s="235"/>
      <c r="P62" s="235"/>
      <c r="R62" s="235"/>
      <c r="S62" s="235"/>
      <c r="T62" s="235"/>
      <c r="U62" s="235"/>
      <c r="V62" s="235"/>
      <c r="W62" s="235"/>
      <c r="X62" s="235"/>
      <c r="Z62" s="235"/>
      <c r="AA62" s="235"/>
      <c r="AB62" s="235"/>
      <c r="AC62" s="235"/>
      <c r="AD62" s="235"/>
      <c r="AE62" s="235"/>
      <c r="AF62" s="235"/>
      <c r="AH62" s="235"/>
      <c r="AI62" s="235"/>
      <c r="AJ62" s="235"/>
      <c r="AK62" s="235"/>
      <c r="AL62" s="235"/>
      <c r="AM62" s="235"/>
      <c r="AN62" s="235"/>
      <c r="AP62" s="235"/>
      <c r="AQ62" s="235"/>
      <c r="AR62" s="235"/>
      <c r="AS62" s="235"/>
      <c r="AT62" s="235"/>
      <c r="AU62" s="235"/>
      <c r="AV62" s="235"/>
      <c r="AX62" s="235"/>
      <c r="AY62" s="235"/>
      <c r="AZ62" s="235"/>
      <c r="BA62" s="235"/>
      <c r="BB62" s="235"/>
      <c r="BC62" s="235"/>
      <c r="BD62" s="235"/>
      <c r="BF62" s="235"/>
      <c r="BG62" s="235"/>
      <c r="BH62" s="235"/>
      <c r="BI62" s="235"/>
      <c r="BJ62" s="235"/>
      <c r="BK62" s="235"/>
      <c r="BL62" s="235"/>
      <c r="BN62" s="235"/>
      <c r="BO62" s="235"/>
      <c r="BP62" s="235"/>
      <c r="BQ62" s="235"/>
      <c r="BR62" s="235"/>
      <c r="BS62" s="235"/>
      <c r="BT62" s="235"/>
      <c r="BV62" s="235"/>
      <c r="BW62" s="286">
        <f t="shared" si="9"/>
        <v>0</v>
      </c>
    </row>
    <row r="63" spans="1:75" x14ac:dyDescent="0.25">
      <c r="A63" s="196" t="s">
        <v>212</v>
      </c>
      <c r="B63" s="236">
        <f>B36+B41+B43+B50</f>
        <v>46</v>
      </c>
      <c r="C63" s="236">
        <f>C36+C41+C43+C50</f>
        <v>9</v>
      </c>
      <c r="D63" s="236">
        <f t="shared" ref="D63:G63" si="61">D36+D41+D43+D50</f>
        <v>0</v>
      </c>
      <c r="E63" s="236">
        <f t="shared" si="61"/>
        <v>0</v>
      </c>
      <c r="F63" s="236">
        <f t="shared" si="61"/>
        <v>1</v>
      </c>
      <c r="G63" s="236">
        <f t="shared" si="61"/>
        <v>0</v>
      </c>
      <c r="H63" s="236">
        <f t="shared" ref="H63" si="62">H36</f>
        <v>46</v>
      </c>
      <c r="J63" s="236">
        <f>J36+J41+J43+J50</f>
        <v>114</v>
      </c>
      <c r="K63" s="236">
        <f>K36+K41+K43+K50</f>
        <v>25</v>
      </c>
      <c r="L63" s="236">
        <f t="shared" ref="L63:O63" si="63">L36+L41+L43+L50</f>
        <v>0</v>
      </c>
      <c r="M63" s="236">
        <f t="shared" si="63"/>
        <v>0</v>
      </c>
      <c r="N63" s="236">
        <f t="shared" si="63"/>
        <v>0</v>
      </c>
      <c r="O63" s="236">
        <f t="shared" si="63"/>
        <v>0</v>
      </c>
      <c r="P63" s="236">
        <f t="shared" ref="P63" si="64">P36</f>
        <v>113</v>
      </c>
      <c r="R63" s="236">
        <f>R36+R41+R43+R50</f>
        <v>52</v>
      </c>
      <c r="S63" s="236">
        <f>S36+S41+S43+S50</f>
        <v>8</v>
      </c>
      <c r="T63" s="236">
        <f t="shared" ref="T63:W63" si="65">T36+T41+T43+T50</f>
        <v>0</v>
      </c>
      <c r="U63" s="236">
        <f t="shared" si="65"/>
        <v>0</v>
      </c>
      <c r="V63" s="236">
        <f t="shared" si="65"/>
        <v>0</v>
      </c>
      <c r="W63" s="236">
        <f t="shared" si="65"/>
        <v>0</v>
      </c>
      <c r="X63" s="236">
        <f t="shared" ref="X63" si="66">X36</f>
        <v>48</v>
      </c>
      <c r="Z63" s="236">
        <f>Z36+Z41+Z43+Z50</f>
        <v>64</v>
      </c>
      <c r="AA63" s="236">
        <f>AA36+AA41+AA43+AA50</f>
        <v>10</v>
      </c>
      <c r="AB63" s="236">
        <f t="shared" ref="AB63:AE63" si="67">AB36+AB41+AB43+AB50</f>
        <v>0</v>
      </c>
      <c r="AC63" s="236">
        <f t="shared" si="67"/>
        <v>0</v>
      </c>
      <c r="AD63" s="236">
        <f t="shared" si="67"/>
        <v>0</v>
      </c>
      <c r="AE63" s="236">
        <f t="shared" si="67"/>
        <v>0</v>
      </c>
      <c r="AF63" s="236">
        <f t="shared" ref="AF63" si="68">AF36</f>
        <v>61</v>
      </c>
      <c r="AH63" s="236">
        <f>AH36+AH41+AH43+AH50</f>
        <v>107.5</v>
      </c>
      <c r="AI63" s="236">
        <f>AI36+AI41+AI43+AI50</f>
        <v>24</v>
      </c>
      <c r="AJ63" s="236">
        <f t="shared" ref="AJ63:AM63" si="69">AJ36+AJ41+AJ43+AJ50</f>
        <v>0</v>
      </c>
      <c r="AK63" s="236">
        <f t="shared" si="69"/>
        <v>0</v>
      </c>
      <c r="AL63" s="236">
        <f t="shared" si="69"/>
        <v>0</v>
      </c>
      <c r="AM63" s="236">
        <f t="shared" si="69"/>
        <v>0</v>
      </c>
      <c r="AN63" s="236">
        <f t="shared" ref="AN63" si="70">AN36</f>
        <v>112</v>
      </c>
      <c r="AP63" s="236">
        <f>AP36+AP41+AP43+AP50</f>
        <v>21</v>
      </c>
      <c r="AQ63" s="236">
        <f>AQ36+AQ41+AQ43+AQ50</f>
        <v>1</v>
      </c>
      <c r="AR63" s="236">
        <f t="shared" ref="AR63:AU63" si="71">AR36+AR41+AR43+AR50</f>
        <v>0</v>
      </c>
      <c r="AS63" s="236">
        <f t="shared" si="71"/>
        <v>0</v>
      </c>
      <c r="AT63" s="236">
        <f t="shared" si="71"/>
        <v>2</v>
      </c>
      <c r="AU63" s="236">
        <f t="shared" si="71"/>
        <v>0</v>
      </c>
      <c r="AV63" s="236">
        <f t="shared" ref="AV63" si="72">AV36</f>
        <v>19</v>
      </c>
      <c r="AX63" s="236">
        <f>AX36+AX41+AX43+AX50</f>
        <v>3</v>
      </c>
      <c r="AY63" s="236">
        <f>AY36+AY41+AY43+AY50</f>
        <v>2</v>
      </c>
      <c r="AZ63" s="236">
        <f t="shared" ref="AZ63:BC63" si="73">AZ36+AZ41+AZ43+AZ50</f>
        <v>0</v>
      </c>
      <c r="BA63" s="236">
        <f t="shared" si="73"/>
        <v>0</v>
      </c>
      <c r="BB63" s="236">
        <f t="shared" si="73"/>
        <v>1</v>
      </c>
      <c r="BC63" s="236">
        <f t="shared" si="73"/>
        <v>0</v>
      </c>
      <c r="BD63" s="236">
        <f t="shared" ref="BD63" si="74">BD36</f>
        <v>1</v>
      </c>
      <c r="BF63" s="236">
        <f>BF36+BF41+BF43+BF50</f>
        <v>1</v>
      </c>
      <c r="BG63" s="236">
        <f>BG36+BG41+BG43+BG50</f>
        <v>0</v>
      </c>
      <c r="BH63" s="236">
        <f t="shared" ref="BH63:BK63" si="75">BH36+BH41+BH43+BH50</f>
        <v>0</v>
      </c>
      <c r="BI63" s="236">
        <f t="shared" si="75"/>
        <v>0</v>
      </c>
      <c r="BJ63" s="236">
        <f t="shared" si="75"/>
        <v>1</v>
      </c>
      <c r="BK63" s="236">
        <f t="shared" si="75"/>
        <v>0</v>
      </c>
      <c r="BL63" s="236">
        <f t="shared" ref="BL63" si="76">BL36</f>
        <v>1</v>
      </c>
      <c r="BN63" s="236">
        <f>BN36+BN41+BN43+BN50</f>
        <v>408.5</v>
      </c>
      <c r="BO63" s="236">
        <f>BO36+BO41+BO43+BO50</f>
        <v>79</v>
      </c>
      <c r="BP63" s="236">
        <f t="shared" ref="BP63:BS63" si="77">BP36+BP41+BP43+BP50</f>
        <v>0</v>
      </c>
      <c r="BQ63" s="236">
        <f t="shared" si="77"/>
        <v>0</v>
      </c>
      <c r="BR63" s="236">
        <f t="shared" si="77"/>
        <v>5</v>
      </c>
      <c r="BS63" s="236">
        <f t="shared" si="77"/>
        <v>0</v>
      </c>
      <c r="BT63" s="236">
        <f t="shared" ref="BT63" si="78">BT36</f>
        <v>401</v>
      </c>
      <c r="BV63" s="236">
        <v>400</v>
      </c>
      <c r="BW63" s="286">
        <f t="shared" si="9"/>
        <v>1</v>
      </c>
    </row>
    <row r="64" spans="1:75" x14ac:dyDescent="0.25">
      <c r="A64" s="197" t="s">
        <v>213</v>
      </c>
      <c r="B64" s="237">
        <f>B61-B41-B43-B50</f>
        <v>13</v>
      </c>
      <c r="C64" s="237">
        <f t="shared" ref="C64:G64" si="79">C61-C41-C43-C50</f>
        <v>1</v>
      </c>
      <c r="D64" s="237">
        <f t="shared" si="79"/>
        <v>2</v>
      </c>
      <c r="E64" s="237">
        <f t="shared" si="79"/>
        <v>0</v>
      </c>
      <c r="F64" s="237">
        <f t="shared" si="79"/>
        <v>0</v>
      </c>
      <c r="G64" s="237">
        <f t="shared" si="79"/>
        <v>0</v>
      </c>
      <c r="H64" s="237">
        <f t="shared" ref="H64" si="80">H61</f>
        <v>26</v>
      </c>
      <c r="J64" s="237">
        <f>J61-J41-J43-J50</f>
        <v>42</v>
      </c>
      <c r="K64" s="237">
        <f t="shared" ref="K64:O64" si="81">K61-K41-K43-K50</f>
        <v>3</v>
      </c>
      <c r="L64" s="237">
        <f t="shared" si="81"/>
        <v>6</v>
      </c>
      <c r="M64" s="237">
        <f t="shared" si="81"/>
        <v>0</v>
      </c>
      <c r="N64" s="237">
        <f t="shared" si="81"/>
        <v>0</v>
      </c>
      <c r="O64" s="237">
        <f t="shared" si="81"/>
        <v>0</v>
      </c>
      <c r="P64" s="237">
        <f t="shared" ref="P64" si="82">P61</f>
        <v>77</v>
      </c>
      <c r="R64" s="237">
        <f>R61-R41-R43-R50</f>
        <v>15.5</v>
      </c>
      <c r="S64" s="237">
        <f t="shared" ref="S64:W64" si="83">S61-S41-S43-S50</f>
        <v>1.5</v>
      </c>
      <c r="T64" s="237">
        <f t="shared" si="83"/>
        <v>2</v>
      </c>
      <c r="U64" s="237">
        <f t="shared" si="83"/>
        <v>0</v>
      </c>
      <c r="V64" s="237">
        <f t="shared" si="83"/>
        <v>0</v>
      </c>
      <c r="W64" s="237">
        <f t="shared" si="83"/>
        <v>0</v>
      </c>
      <c r="X64" s="237">
        <f t="shared" ref="X64" si="84">X61</f>
        <v>31</v>
      </c>
      <c r="Z64" s="237">
        <f>Z61-Z41-Z43-Z50</f>
        <v>13.5</v>
      </c>
      <c r="AA64" s="237">
        <f t="shared" ref="AA64:AE64" si="85">AA61-AA41-AA43-AA50</f>
        <v>2.83</v>
      </c>
      <c r="AB64" s="237">
        <f t="shared" si="85"/>
        <v>2</v>
      </c>
      <c r="AC64" s="237">
        <f t="shared" si="85"/>
        <v>0</v>
      </c>
      <c r="AD64" s="237">
        <f t="shared" si="85"/>
        <v>0</v>
      </c>
      <c r="AE64" s="237">
        <f t="shared" si="85"/>
        <v>0</v>
      </c>
      <c r="AF64" s="237">
        <f t="shared" ref="AF64" si="86">AF61</f>
        <v>31.33</v>
      </c>
      <c r="AH64" s="237">
        <f>AH61-AH41-AH43-AH50</f>
        <v>40</v>
      </c>
      <c r="AI64" s="237">
        <f t="shared" ref="AI64:AM64" si="87">AI61-AI41-AI43-AI50</f>
        <v>1.5</v>
      </c>
      <c r="AJ64" s="237">
        <f t="shared" si="87"/>
        <v>4</v>
      </c>
      <c r="AK64" s="237">
        <f t="shared" si="87"/>
        <v>0</v>
      </c>
      <c r="AL64" s="237">
        <f t="shared" si="87"/>
        <v>0</v>
      </c>
      <c r="AM64" s="237">
        <f t="shared" si="87"/>
        <v>0</v>
      </c>
      <c r="AN64" s="237">
        <f t="shared" ref="AN64" si="88">AN61</f>
        <v>65</v>
      </c>
      <c r="AP64" s="237">
        <f>AP61-AP41-AP43-AP50</f>
        <v>5.5</v>
      </c>
      <c r="AQ64" s="237">
        <f t="shared" ref="AQ64:AU64" si="89">AQ61-AQ41-AQ43-AQ50</f>
        <v>1</v>
      </c>
      <c r="AR64" s="237">
        <f t="shared" si="89"/>
        <v>1</v>
      </c>
      <c r="AS64" s="237">
        <f t="shared" si="89"/>
        <v>0</v>
      </c>
      <c r="AT64" s="237">
        <f t="shared" si="89"/>
        <v>0</v>
      </c>
      <c r="AU64" s="237">
        <f t="shared" si="89"/>
        <v>0</v>
      </c>
      <c r="AV64" s="237">
        <f t="shared" ref="AV64" si="90">AV61</f>
        <v>12.5</v>
      </c>
      <c r="AX64" s="237">
        <f>AX61-AX41-AX43-AX50</f>
        <v>0</v>
      </c>
      <c r="AY64" s="237">
        <f t="shared" ref="AY64:BC64" si="91">AY61-AY41-AY43-AY50</f>
        <v>0</v>
      </c>
      <c r="AZ64" s="237">
        <f t="shared" si="91"/>
        <v>0</v>
      </c>
      <c r="BA64" s="237">
        <f t="shared" si="91"/>
        <v>0</v>
      </c>
      <c r="BB64" s="237">
        <f t="shared" si="91"/>
        <v>0</v>
      </c>
      <c r="BC64" s="237">
        <f t="shared" si="91"/>
        <v>0</v>
      </c>
      <c r="BD64" s="237">
        <f t="shared" ref="BD64" si="92">BD61</f>
        <v>5</v>
      </c>
      <c r="BF64" s="237">
        <f>BF61-BF41-BF43-BF50</f>
        <v>3</v>
      </c>
      <c r="BG64" s="237">
        <f t="shared" ref="BG64:BK64" si="93">BG61-BG41-BG43-BG50</f>
        <v>0</v>
      </c>
      <c r="BH64" s="237">
        <f t="shared" si="93"/>
        <v>1</v>
      </c>
      <c r="BI64" s="237">
        <f t="shared" si="93"/>
        <v>0</v>
      </c>
      <c r="BJ64" s="237">
        <f t="shared" si="93"/>
        <v>0</v>
      </c>
      <c r="BK64" s="237">
        <f t="shared" si="93"/>
        <v>0</v>
      </c>
      <c r="BL64" s="237">
        <f t="shared" ref="BL64" si="94">BL61</f>
        <v>5</v>
      </c>
      <c r="BN64" s="237">
        <f>BN61-BN41-BN43-BN50</f>
        <v>132.5</v>
      </c>
      <c r="BO64" s="237">
        <f t="shared" ref="BO64:BS64" si="95">BO61-BO41-BO43-BO50</f>
        <v>10.829999999999998</v>
      </c>
      <c r="BP64" s="237">
        <f t="shared" si="95"/>
        <v>18</v>
      </c>
      <c r="BQ64" s="237">
        <f t="shared" si="95"/>
        <v>0</v>
      </c>
      <c r="BR64" s="237">
        <f t="shared" si="95"/>
        <v>0</v>
      </c>
      <c r="BS64" s="237">
        <f t="shared" si="95"/>
        <v>0</v>
      </c>
      <c r="BT64" s="237">
        <f t="shared" ref="BT64" si="96">BT61</f>
        <v>252.83</v>
      </c>
      <c r="BV64" s="237">
        <v>251.83</v>
      </c>
      <c r="BW64" s="286">
        <f t="shared" si="9"/>
        <v>1</v>
      </c>
    </row>
    <row r="65" spans="1:75" ht="16.5" thickBot="1" x14ac:dyDescent="0.3">
      <c r="A65" s="198" t="s">
        <v>214</v>
      </c>
      <c r="B65" s="238">
        <f>SUM(B63:B64)</f>
        <v>59</v>
      </c>
      <c r="C65" s="238">
        <f t="shared" ref="C65:G65" si="97">SUM(C63:C64)</f>
        <v>10</v>
      </c>
      <c r="D65" s="238">
        <f t="shared" si="97"/>
        <v>2</v>
      </c>
      <c r="E65" s="238">
        <f t="shared" si="97"/>
        <v>0</v>
      </c>
      <c r="F65" s="238">
        <f t="shared" si="97"/>
        <v>1</v>
      </c>
      <c r="G65" s="238">
        <f t="shared" si="97"/>
        <v>0</v>
      </c>
      <c r="H65" s="238">
        <f>SUM(H63:H64)</f>
        <v>72</v>
      </c>
      <c r="J65" s="238">
        <f>SUM(J63:J64)</f>
        <v>156</v>
      </c>
      <c r="K65" s="238">
        <f t="shared" ref="K65:O65" si="98">SUM(K63:K64)</f>
        <v>28</v>
      </c>
      <c r="L65" s="238">
        <f t="shared" si="98"/>
        <v>6</v>
      </c>
      <c r="M65" s="238">
        <f t="shared" si="98"/>
        <v>0</v>
      </c>
      <c r="N65" s="238">
        <f t="shared" si="98"/>
        <v>0</v>
      </c>
      <c r="O65" s="238">
        <f t="shared" si="98"/>
        <v>0</v>
      </c>
      <c r="P65" s="238">
        <f>SUM(P63:P64)</f>
        <v>190</v>
      </c>
      <c r="R65" s="238">
        <f>SUM(R63:R64)</f>
        <v>67.5</v>
      </c>
      <c r="S65" s="238">
        <f t="shared" ref="S65:W65" si="99">SUM(S63:S64)</f>
        <v>9.5</v>
      </c>
      <c r="T65" s="238">
        <f t="shared" si="99"/>
        <v>2</v>
      </c>
      <c r="U65" s="238">
        <f t="shared" si="99"/>
        <v>0</v>
      </c>
      <c r="V65" s="238">
        <f t="shared" si="99"/>
        <v>0</v>
      </c>
      <c r="W65" s="238">
        <f t="shared" si="99"/>
        <v>0</v>
      </c>
      <c r="X65" s="238">
        <f>SUM(X63:X64)</f>
        <v>79</v>
      </c>
      <c r="Z65" s="238">
        <f>SUM(Z63:Z64)</f>
        <v>77.5</v>
      </c>
      <c r="AA65" s="238">
        <f t="shared" ref="AA65:AE65" si="100">SUM(AA63:AA64)</f>
        <v>12.83</v>
      </c>
      <c r="AB65" s="238">
        <f t="shared" si="100"/>
        <v>2</v>
      </c>
      <c r="AC65" s="238">
        <f t="shared" si="100"/>
        <v>0</v>
      </c>
      <c r="AD65" s="238">
        <f t="shared" si="100"/>
        <v>0</v>
      </c>
      <c r="AE65" s="238">
        <f t="shared" si="100"/>
        <v>0</v>
      </c>
      <c r="AF65" s="238">
        <f>SUM(AF63:AF64)</f>
        <v>92.33</v>
      </c>
      <c r="AH65" s="238">
        <f>SUM(AH63:AH64)</f>
        <v>147.5</v>
      </c>
      <c r="AI65" s="238">
        <f t="shared" ref="AI65:AM65" si="101">SUM(AI63:AI64)</f>
        <v>25.5</v>
      </c>
      <c r="AJ65" s="238">
        <f t="shared" si="101"/>
        <v>4</v>
      </c>
      <c r="AK65" s="238">
        <f t="shared" si="101"/>
        <v>0</v>
      </c>
      <c r="AL65" s="238">
        <f t="shared" si="101"/>
        <v>0</v>
      </c>
      <c r="AM65" s="238">
        <f t="shared" si="101"/>
        <v>0</v>
      </c>
      <c r="AN65" s="238">
        <f>SUM(AN63:AN64)</f>
        <v>177</v>
      </c>
      <c r="AP65" s="238">
        <f>SUM(AP63:AP64)</f>
        <v>26.5</v>
      </c>
      <c r="AQ65" s="238">
        <f t="shared" ref="AQ65:AU65" si="102">SUM(AQ63:AQ64)</f>
        <v>2</v>
      </c>
      <c r="AR65" s="238">
        <f t="shared" si="102"/>
        <v>1</v>
      </c>
      <c r="AS65" s="238">
        <f t="shared" si="102"/>
        <v>0</v>
      </c>
      <c r="AT65" s="238">
        <f t="shared" si="102"/>
        <v>2</v>
      </c>
      <c r="AU65" s="238">
        <f t="shared" si="102"/>
        <v>0</v>
      </c>
      <c r="AV65" s="238">
        <f>SUM(AV63:AV64)</f>
        <v>31.5</v>
      </c>
      <c r="AX65" s="238">
        <f>SUM(AX63:AX64)</f>
        <v>3</v>
      </c>
      <c r="AY65" s="238">
        <f t="shared" ref="AY65:BC65" si="103">SUM(AY63:AY64)</f>
        <v>2</v>
      </c>
      <c r="AZ65" s="238">
        <f t="shared" si="103"/>
        <v>0</v>
      </c>
      <c r="BA65" s="238">
        <f t="shared" si="103"/>
        <v>0</v>
      </c>
      <c r="BB65" s="238">
        <f t="shared" si="103"/>
        <v>1</v>
      </c>
      <c r="BC65" s="238">
        <f t="shared" si="103"/>
        <v>0</v>
      </c>
      <c r="BD65" s="238">
        <f>SUM(BD63:BD64)</f>
        <v>6</v>
      </c>
      <c r="BF65" s="238">
        <f>SUM(BF63:BF64)</f>
        <v>4</v>
      </c>
      <c r="BG65" s="238">
        <f t="shared" ref="BG65:BK65" si="104">SUM(BG63:BG64)</f>
        <v>0</v>
      </c>
      <c r="BH65" s="238">
        <f t="shared" si="104"/>
        <v>1</v>
      </c>
      <c r="BI65" s="238">
        <f t="shared" si="104"/>
        <v>0</v>
      </c>
      <c r="BJ65" s="238">
        <f t="shared" si="104"/>
        <v>1</v>
      </c>
      <c r="BK65" s="238">
        <f t="shared" si="104"/>
        <v>0</v>
      </c>
      <c r="BL65" s="238">
        <f>SUM(BL63:BL64)</f>
        <v>6</v>
      </c>
      <c r="BN65" s="238">
        <f>SUM(BN63:BN64)</f>
        <v>541</v>
      </c>
      <c r="BO65" s="238">
        <f t="shared" ref="BO65:BS65" si="105">SUM(BO63:BO64)</f>
        <v>89.83</v>
      </c>
      <c r="BP65" s="238">
        <f t="shared" si="105"/>
        <v>18</v>
      </c>
      <c r="BQ65" s="238">
        <f t="shared" si="105"/>
        <v>0</v>
      </c>
      <c r="BR65" s="238">
        <f t="shared" si="105"/>
        <v>5</v>
      </c>
      <c r="BS65" s="238">
        <f t="shared" si="105"/>
        <v>0</v>
      </c>
      <c r="BT65" s="238">
        <f>SUM(BT63:BT64)</f>
        <v>653.83000000000004</v>
      </c>
      <c r="BV65" s="238">
        <v>651.83000000000004</v>
      </c>
      <c r="BW65" s="286">
        <f t="shared" si="9"/>
        <v>2</v>
      </c>
    </row>
    <row r="66" spans="1:75" ht="16.5" thickBot="1" x14ac:dyDescent="0.3">
      <c r="BW66" s="286">
        <f t="shared" si="9"/>
        <v>0</v>
      </c>
    </row>
    <row r="67" spans="1:75" ht="16.5" thickBot="1" x14ac:dyDescent="0.3">
      <c r="A67" s="199"/>
      <c r="B67" s="239" t="s">
        <v>309</v>
      </c>
      <c r="C67" s="239" t="s">
        <v>310</v>
      </c>
      <c r="D67" s="239" t="s">
        <v>311</v>
      </c>
      <c r="E67" s="240" t="str">
        <f>E20</f>
        <v>Other</v>
      </c>
      <c r="F67" s="239" t="s">
        <v>313</v>
      </c>
      <c r="G67" s="239" t="s">
        <v>314</v>
      </c>
      <c r="H67" s="239" t="s">
        <v>320</v>
      </c>
      <c r="J67" s="239" t="s">
        <v>309</v>
      </c>
      <c r="K67" s="239" t="s">
        <v>310</v>
      </c>
      <c r="L67" s="239" t="s">
        <v>311</v>
      </c>
      <c r="M67" s="240" t="str">
        <f>M20</f>
        <v>Other</v>
      </c>
      <c r="N67" s="239" t="s">
        <v>313</v>
      </c>
      <c r="O67" s="239" t="s">
        <v>314</v>
      </c>
      <c r="P67" s="240" t="str">
        <f>P38</f>
        <v>Cadence</v>
      </c>
      <c r="R67" s="239" t="s">
        <v>309</v>
      </c>
      <c r="S67" s="239" t="s">
        <v>310</v>
      </c>
      <c r="T67" s="239" t="s">
        <v>311</v>
      </c>
      <c r="U67" s="240" t="str">
        <f>U20</f>
        <v>Other</v>
      </c>
      <c r="V67" s="239" t="s">
        <v>313</v>
      </c>
      <c r="W67" s="239" t="s">
        <v>314</v>
      </c>
      <c r="X67" s="240" t="str">
        <f>X38</f>
        <v>St. Rose</v>
      </c>
      <c r="Z67" s="239" t="s">
        <v>309</v>
      </c>
      <c r="AA67" s="239" t="s">
        <v>310</v>
      </c>
      <c r="AB67" s="239" t="s">
        <v>311</v>
      </c>
      <c r="AC67" s="240" t="str">
        <f>AC20</f>
        <v>Other</v>
      </c>
      <c r="AD67" s="239" t="s">
        <v>313</v>
      </c>
      <c r="AE67" s="239" t="s">
        <v>314</v>
      </c>
      <c r="AF67" s="240" t="str">
        <f>AF38</f>
        <v>Inspirada</v>
      </c>
      <c r="AH67" s="239" t="s">
        <v>309</v>
      </c>
      <c r="AI67" s="239" t="s">
        <v>310</v>
      </c>
      <c r="AJ67" s="239" t="s">
        <v>311</v>
      </c>
      <c r="AK67" s="240" t="str">
        <f>AK20</f>
        <v>Other</v>
      </c>
      <c r="AL67" s="239" t="s">
        <v>313</v>
      </c>
      <c r="AM67" s="239" t="s">
        <v>314</v>
      </c>
      <c r="AN67" s="240" t="str">
        <f>AN38</f>
        <v>Sloan</v>
      </c>
      <c r="AP67" s="239" t="s">
        <v>309</v>
      </c>
      <c r="AQ67" s="239" t="s">
        <v>310</v>
      </c>
      <c r="AR67" s="239" t="s">
        <v>311</v>
      </c>
      <c r="AS67" s="240" t="str">
        <f>AS20</f>
        <v>Other</v>
      </c>
      <c r="AT67" s="239" t="s">
        <v>313</v>
      </c>
      <c r="AU67" s="239" t="s">
        <v>314</v>
      </c>
      <c r="AV67" s="240" t="str">
        <f>AV38</f>
        <v>Springs</v>
      </c>
      <c r="AX67" s="239" t="s">
        <v>309</v>
      </c>
      <c r="AY67" s="239" t="s">
        <v>310</v>
      </c>
      <c r="AZ67" s="239" t="s">
        <v>311</v>
      </c>
      <c r="BA67" s="240" t="str">
        <f>BA20</f>
        <v>Other</v>
      </c>
      <c r="BB67" s="239" t="s">
        <v>313</v>
      </c>
      <c r="BC67" s="239" t="s">
        <v>314</v>
      </c>
      <c r="BD67" s="240" t="str">
        <f>BD38</f>
        <v>Virtual</v>
      </c>
      <c r="BF67" s="239" t="s">
        <v>309</v>
      </c>
      <c r="BG67" s="239" t="s">
        <v>310</v>
      </c>
      <c r="BH67" s="239" t="s">
        <v>311</v>
      </c>
      <c r="BI67" s="240" t="str">
        <f>BI20</f>
        <v>Other</v>
      </c>
      <c r="BJ67" s="239" t="s">
        <v>313</v>
      </c>
      <c r="BK67" s="239" t="s">
        <v>314</v>
      </c>
      <c r="BL67" s="240" t="str">
        <f>BL38</f>
        <v>Central</v>
      </c>
      <c r="BN67" s="239" t="s">
        <v>309</v>
      </c>
      <c r="BO67" s="239" t="s">
        <v>310</v>
      </c>
      <c r="BP67" s="239" t="s">
        <v>311</v>
      </c>
      <c r="BQ67" s="240" t="str">
        <f>BQ20</f>
        <v>Other</v>
      </c>
      <c r="BR67" s="239" t="s">
        <v>313</v>
      </c>
      <c r="BS67" s="239" t="s">
        <v>314</v>
      </c>
      <c r="BT67" s="240" t="str">
        <f>BT38</f>
        <v>System</v>
      </c>
      <c r="BV67" s="239" t="s">
        <v>320</v>
      </c>
      <c r="BW67" s="286" t="e">
        <f t="shared" si="9"/>
        <v>#VALUE!</v>
      </c>
    </row>
    <row r="68" spans="1:75" x14ac:dyDescent="0.25">
      <c r="A68" s="200" t="s">
        <v>215</v>
      </c>
      <c r="B68" s="241">
        <f>B17*B2</f>
        <v>8568560</v>
      </c>
      <c r="C68" s="241"/>
      <c r="D68" s="241"/>
      <c r="E68" s="241"/>
      <c r="F68" s="241"/>
      <c r="G68" s="241"/>
      <c r="H68" s="241">
        <f>SUM(B68:G68)</f>
        <v>8568560</v>
      </c>
      <c r="J68" s="241">
        <f>J17*J2</f>
        <v>23408176</v>
      </c>
      <c r="K68" s="241"/>
      <c r="L68" s="241"/>
      <c r="M68" s="241"/>
      <c r="N68" s="241"/>
      <c r="O68" s="241"/>
      <c r="P68" s="241">
        <f>SUM(J68:O68)</f>
        <v>23408176</v>
      </c>
      <c r="R68" s="241">
        <f>R17*R2</f>
        <v>9698480</v>
      </c>
      <c r="S68" s="241"/>
      <c r="T68" s="241"/>
      <c r="U68" s="241"/>
      <c r="V68" s="241"/>
      <c r="W68" s="241"/>
      <c r="X68" s="241">
        <f>SUM(R68:W68)</f>
        <v>9698480</v>
      </c>
      <c r="Z68" s="241">
        <f>Z17*Z2</f>
        <v>11148544</v>
      </c>
      <c r="AA68" s="241"/>
      <c r="AB68" s="241"/>
      <c r="AC68" s="241"/>
      <c r="AD68" s="241"/>
      <c r="AE68" s="241"/>
      <c r="AF68" s="241">
        <f>SUM(Z68:AE68)</f>
        <v>11148544</v>
      </c>
      <c r="AH68" s="241">
        <f>AH17*AH2</f>
        <v>22749056</v>
      </c>
      <c r="AI68" s="241"/>
      <c r="AJ68" s="241"/>
      <c r="AK68" s="241"/>
      <c r="AL68" s="241"/>
      <c r="AM68" s="241"/>
      <c r="AN68" s="241">
        <f>SUM(AH68:AM68)</f>
        <v>22749056</v>
      </c>
      <c r="AP68" s="241">
        <f>AP17*AP2</f>
        <v>3483920</v>
      </c>
      <c r="AQ68" s="241"/>
      <c r="AR68" s="241"/>
      <c r="AS68" s="241"/>
      <c r="AT68" s="241"/>
      <c r="AU68" s="241"/>
      <c r="AV68" s="241">
        <f>SUM(AP68:AU68)</f>
        <v>3483920</v>
      </c>
      <c r="AX68" s="241">
        <f>AX17*AX2</f>
        <v>1318240</v>
      </c>
      <c r="AY68" s="241"/>
      <c r="AZ68" s="241"/>
      <c r="BA68" s="241"/>
      <c r="BB68" s="241"/>
      <c r="BC68" s="241"/>
      <c r="BD68" s="241">
        <f>SUM(AX68:BC68)</f>
        <v>1318240</v>
      </c>
      <c r="BF68" s="241"/>
      <c r="BG68" s="241"/>
      <c r="BH68" s="241"/>
      <c r="BI68" s="241"/>
      <c r="BJ68" s="241"/>
      <c r="BK68" s="241"/>
      <c r="BL68" s="241">
        <f>SUM(BF68:BK68)</f>
        <v>0</v>
      </c>
      <c r="BN68" s="241">
        <f>B68+J68+R68+Z68+AH68+AP68+AX68+BF68</f>
        <v>80374976</v>
      </c>
      <c r="BO68" s="241">
        <f t="shared" ref="BO68:BS68" si="106">C68+K68+S68+AA68+AI68+AQ68+AY68+BG68</f>
        <v>0</v>
      </c>
      <c r="BP68" s="241">
        <f t="shared" si="106"/>
        <v>0</v>
      </c>
      <c r="BQ68" s="241">
        <f t="shared" si="106"/>
        <v>0</v>
      </c>
      <c r="BR68" s="241">
        <f t="shared" si="106"/>
        <v>0</v>
      </c>
      <c r="BS68" s="241">
        <f t="shared" si="106"/>
        <v>0</v>
      </c>
      <c r="BT68" s="241">
        <f>SUM(BN68:BS68)</f>
        <v>80374976</v>
      </c>
      <c r="BV68" s="241">
        <v>80478552</v>
      </c>
      <c r="BW68" s="286">
        <f t="shared" si="9"/>
        <v>-103576</v>
      </c>
    </row>
    <row r="69" spans="1:75" x14ac:dyDescent="0.25">
      <c r="A69" s="201" t="s">
        <v>216</v>
      </c>
      <c r="B69" s="242">
        <f>B22*4235</f>
        <v>148225</v>
      </c>
      <c r="C69" s="242"/>
      <c r="D69" s="242"/>
      <c r="E69" s="242"/>
      <c r="F69" s="242"/>
      <c r="G69" s="242"/>
      <c r="H69" s="241">
        <f t="shared" ref="H69:H81" si="107">SUM(B69:G69)</f>
        <v>148225</v>
      </c>
      <c r="J69" s="242">
        <f>J22*4235</f>
        <v>211750</v>
      </c>
      <c r="K69" s="242"/>
      <c r="L69" s="242"/>
      <c r="M69" s="242"/>
      <c r="N69" s="242"/>
      <c r="O69" s="242"/>
      <c r="P69" s="241">
        <f t="shared" ref="P69:P81" si="108">SUM(J69:O69)</f>
        <v>211750</v>
      </c>
      <c r="R69" s="242">
        <f>R22*4235</f>
        <v>93170</v>
      </c>
      <c r="S69" s="242"/>
      <c r="T69" s="242"/>
      <c r="U69" s="242"/>
      <c r="V69" s="242"/>
      <c r="W69" s="242"/>
      <c r="X69" s="241">
        <f t="shared" ref="X69:X81" si="109">SUM(R69:W69)</f>
        <v>93170</v>
      </c>
      <c r="Z69" s="242">
        <f>Z22*4235</f>
        <v>177870</v>
      </c>
      <c r="AA69" s="242"/>
      <c r="AB69" s="242"/>
      <c r="AC69" s="242"/>
      <c r="AD69" s="242"/>
      <c r="AE69" s="242"/>
      <c r="AF69" s="241">
        <f t="shared" ref="AF69:AF81" si="110">SUM(Z69:AE69)</f>
        <v>177870</v>
      </c>
      <c r="AH69" s="242">
        <f>AH22*4235</f>
        <v>190575</v>
      </c>
      <c r="AI69" s="242"/>
      <c r="AJ69" s="242"/>
      <c r="AK69" s="242"/>
      <c r="AL69" s="242"/>
      <c r="AM69" s="242"/>
      <c r="AN69" s="241">
        <f t="shared" ref="AN69:AN81" si="111">SUM(AH69:AM69)</f>
        <v>190575</v>
      </c>
      <c r="AP69" s="242">
        <f>AP22*4235</f>
        <v>118580</v>
      </c>
      <c r="AQ69" s="242"/>
      <c r="AR69" s="242"/>
      <c r="AS69" s="242"/>
      <c r="AT69" s="242"/>
      <c r="AU69" s="242"/>
      <c r="AV69" s="241">
        <f t="shared" ref="AV69:AV81" si="112">SUM(AP69:AU69)</f>
        <v>118580</v>
      </c>
      <c r="AX69" s="242">
        <f>AX22*4235</f>
        <v>8470</v>
      </c>
      <c r="AY69" s="242"/>
      <c r="AZ69" s="242"/>
      <c r="BA69" s="242"/>
      <c r="BB69" s="242"/>
      <c r="BC69" s="242"/>
      <c r="BD69" s="241">
        <f t="shared" ref="BD69:BD81" si="113">SUM(AX69:BC69)</f>
        <v>8470</v>
      </c>
      <c r="BF69" s="242"/>
      <c r="BG69" s="242"/>
      <c r="BH69" s="242"/>
      <c r="BI69" s="242"/>
      <c r="BJ69" s="242"/>
      <c r="BK69" s="242"/>
      <c r="BL69" s="241">
        <f t="shared" ref="BL69:BL81" si="114">SUM(BF69:BK69)</f>
        <v>0</v>
      </c>
      <c r="BN69" s="241">
        <f t="shared" ref="BN69:BN81" si="115">B69+J69+R69+Z69+AH69+AP69+AX69+BF69</f>
        <v>948640</v>
      </c>
      <c r="BO69" s="241">
        <f t="shared" ref="BO69:BO81" si="116">C69+K69+S69+AA69+AI69+AQ69+AY69+BG69</f>
        <v>0</v>
      </c>
      <c r="BP69" s="241">
        <f t="shared" ref="BP69:BP81" si="117">D69+L69+T69+AB69+AJ69+AR69+AZ69+BH69</f>
        <v>0</v>
      </c>
      <c r="BQ69" s="241">
        <f t="shared" ref="BQ69:BQ81" si="118">E69+M69+U69+AC69+AK69+AS69+BA69+BI69</f>
        <v>0</v>
      </c>
      <c r="BR69" s="241">
        <f t="shared" ref="BR69:BR81" si="119">F69+N69+V69+AD69+AL69+AT69+BB69+BJ69</f>
        <v>0</v>
      </c>
      <c r="BS69" s="241">
        <f t="shared" ref="BS69:BS81" si="120">G69+O69+W69+AE69+AM69+AU69+BC69+BK69</f>
        <v>0</v>
      </c>
      <c r="BT69" s="241">
        <f t="shared" ref="BT69:BT72" si="121">SUM(BN69:BS69)</f>
        <v>948640</v>
      </c>
      <c r="BV69" s="241">
        <v>948640</v>
      </c>
      <c r="BW69" s="286">
        <f t="shared" si="9"/>
        <v>0</v>
      </c>
    </row>
    <row r="70" spans="1:75" x14ac:dyDescent="0.25">
      <c r="A70" s="201" t="s">
        <v>217</v>
      </c>
      <c r="B70" s="242">
        <f>B23*1130</f>
        <v>37290</v>
      </c>
      <c r="C70" s="242"/>
      <c r="D70" s="242"/>
      <c r="E70" s="242"/>
      <c r="F70" s="242"/>
      <c r="G70" s="242"/>
      <c r="H70" s="241">
        <f t="shared" si="107"/>
        <v>37290</v>
      </c>
      <c r="J70" s="242">
        <f>J23*1130</f>
        <v>45200</v>
      </c>
      <c r="K70" s="242"/>
      <c r="L70" s="242"/>
      <c r="M70" s="242"/>
      <c r="N70" s="242"/>
      <c r="O70" s="242"/>
      <c r="P70" s="241">
        <f t="shared" si="108"/>
        <v>45200</v>
      </c>
      <c r="R70" s="242">
        <f>R23*1130</f>
        <v>75710</v>
      </c>
      <c r="S70" s="242"/>
      <c r="T70" s="242"/>
      <c r="U70" s="242"/>
      <c r="V70" s="242"/>
      <c r="W70" s="242"/>
      <c r="X70" s="241">
        <f t="shared" si="109"/>
        <v>75710</v>
      </c>
      <c r="Z70" s="242">
        <f>Z23*1130</f>
        <v>63280</v>
      </c>
      <c r="AA70" s="242"/>
      <c r="AB70" s="242"/>
      <c r="AC70" s="242"/>
      <c r="AD70" s="242"/>
      <c r="AE70" s="242"/>
      <c r="AF70" s="241">
        <f t="shared" si="110"/>
        <v>63280</v>
      </c>
      <c r="AH70" s="242">
        <f>AH23*1130</f>
        <v>100570</v>
      </c>
      <c r="AI70" s="242"/>
      <c r="AJ70" s="242"/>
      <c r="AK70" s="242"/>
      <c r="AL70" s="242"/>
      <c r="AM70" s="242"/>
      <c r="AN70" s="241">
        <f t="shared" si="111"/>
        <v>100570</v>
      </c>
      <c r="AP70" s="242">
        <f>AP23*1130</f>
        <v>0</v>
      </c>
      <c r="AQ70" s="242"/>
      <c r="AR70" s="242"/>
      <c r="AS70" s="242"/>
      <c r="AT70" s="242"/>
      <c r="AU70" s="242"/>
      <c r="AV70" s="241">
        <f t="shared" si="112"/>
        <v>0</v>
      </c>
      <c r="AX70" s="242">
        <f>AX23*1130</f>
        <v>0</v>
      </c>
      <c r="AY70" s="242"/>
      <c r="AZ70" s="242"/>
      <c r="BA70" s="242"/>
      <c r="BB70" s="242"/>
      <c r="BC70" s="242"/>
      <c r="BD70" s="241">
        <f t="shared" si="113"/>
        <v>0</v>
      </c>
      <c r="BF70" s="242"/>
      <c r="BG70" s="242"/>
      <c r="BH70" s="242"/>
      <c r="BI70" s="242"/>
      <c r="BJ70" s="242"/>
      <c r="BK70" s="242"/>
      <c r="BL70" s="241">
        <f t="shared" si="114"/>
        <v>0</v>
      </c>
      <c r="BN70" s="241">
        <f t="shared" si="115"/>
        <v>322050</v>
      </c>
      <c r="BO70" s="241">
        <f t="shared" si="116"/>
        <v>0</v>
      </c>
      <c r="BP70" s="241">
        <f t="shared" si="117"/>
        <v>0</v>
      </c>
      <c r="BQ70" s="241">
        <f t="shared" si="118"/>
        <v>0</v>
      </c>
      <c r="BR70" s="241">
        <f t="shared" si="119"/>
        <v>0</v>
      </c>
      <c r="BS70" s="241">
        <f t="shared" si="120"/>
        <v>0</v>
      </c>
      <c r="BT70" s="241">
        <f t="shared" si="121"/>
        <v>322050</v>
      </c>
      <c r="BV70" s="241">
        <v>322050</v>
      </c>
      <c r="BW70" s="286">
        <f t="shared" si="9"/>
        <v>0</v>
      </c>
    </row>
    <row r="71" spans="1:75" x14ac:dyDescent="0.25">
      <c r="A71" s="201" t="s">
        <v>218</v>
      </c>
      <c r="B71" s="242">
        <f>B24*3294</f>
        <v>0</v>
      </c>
      <c r="C71" s="242"/>
      <c r="D71" s="242"/>
      <c r="E71" s="242"/>
      <c r="F71" s="242"/>
      <c r="G71" s="242"/>
      <c r="H71" s="241">
        <f t="shared" si="107"/>
        <v>0</v>
      </c>
      <c r="J71" s="242">
        <f>J24*3294</f>
        <v>181170</v>
      </c>
      <c r="K71" s="242"/>
      <c r="L71" s="242"/>
      <c r="M71" s="242"/>
      <c r="N71" s="242"/>
      <c r="O71" s="242"/>
      <c r="P71" s="241">
        <f t="shared" si="108"/>
        <v>181170</v>
      </c>
      <c r="R71" s="242">
        <f>R24*3294</f>
        <v>0</v>
      </c>
      <c r="S71" s="242"/>
      <c r="T71" s="242"/>
      <c r="U71" s="242"/>
      <c r="V71" s="242"/>
      <c r="W71" s="242"/>
      <c r="X71" s="241">
        <f t="shared" si="109"/>
        <v>0</v>
      </c>
      <c r="Z71" s="242">
        <f>Z24*3294</f>
        <v>0</v>
      </c>
      <c r="AA71" s="242"/>
      <c r="AB71" s="242"/>
      <c r="AC71" s="242"/>
      <c r="AD71" s="242"/>
      <c r="AE71" s="242"/>
      <c r="AF71" s="241">
        <f t="shared" si="110"/>
        <v>0</v>
      </c>
      <c r="AH71" s="242">
        <f>AH24*3294</f>
        <v>148230</v>
      </c>
      <c r="AI71" s="242"/>
      <c r="AJ71" s="242"/>
      <c r="AK71" s="242"/>
      <c r="AL71" s="242"/>
      <c r="AM71" s="242"/>
      <c r="AN71" s="241">
        <f t="shared" si="111"/>
        <v>148230</v>
      </c>
      <c r="AP71" s="242">
        <f>AP24*3294</f>
        <v>32940</v>
      </c>
      <c r="AQ71" s="242"/>
      <c r="AR71" s="242"/>
      <c r="AS71" s="242"/>
      <c r="AT71" s="242"/>
      <c r="AU71" s="242"/>
      <c r="AV71" s="241">
        <f t="shared" si="112"/>
        <v>32940</v>
      </c>
      <c r="AX71" s="242">
        <f>AX24*3294</f>
        <v>6588</v>
      </c>
      <c r="AY71" s="242"/>
      <c r="AZ71" s="242"/>
      <c r="BA71" s="242"/>
      <c r="BB71" s="242"/>
      <c r="BC71" s="242"/>
      <c r="BD71" s="241">
        <f t="shared" si="113"/>
        <v>6588</v>
      </c>
      <c r="BF71" s="242"/>
      <c r="BG71" s="242"/>
      <c r="BH71" s="242"/>
      <c r="BI71" s="242"/>
      <c r="BJ71" s="242"/>
      <c r="BK71" s="242"/>
      <c r="BL71" s="241">
        <f t="shared" si="114"/>
        <v>0</v>
      </c>
      <c r="BN71" s="241">
        <f t="shared" si="115"/>
        <v>368928</v>
      </c>
      <c r="BO71" s="241">
        <f t="shared" si="116"/>
        <v>0</v>
      </c>
      <c r="BP71" s="241">
        <f t="shared" si="117"/>
        <v>0</v>
      </c>
      <c r="BQ71" s="241">
        <f t="shared" si="118"/>
        <v>0</v>
      </c>
      <c r="BR71" s="241">
        <f t="shared" si="119"/>
        <v>0</v>
      </c>
      <c r="BS71" s="241">
        <f t="shared" si="120"/>
        <v>0</v>
      </c>
      <c r="BT71" s="241">
        <f t="shared" si="121"/>
        <v>368928</v>
      </c>
      <c r="BV71" s="241">
        <v>368928</v>
      </c>
      <c r="BW71" s="286">
        <f t="shared" si="9"/>
        <v>0</v>
      </c>
    </row>
    <row r="72" spans="1:75" x14ac:dyDescent="0.25">
      <c r="A72" s="201" t="s">
        <v>219</v>
      </c>
      <c r="B72" s="242">
        <v>260108</v>
      </c>
      <c r="C72" s="242"/>
      <c r="D72" s="242"/>
      <c r="E72" s="242"/>
      <c r="F72" s="242"/>
      <c r="G72" s="242"/>
      <c r="H72" s="241">
        <f t="shared" si="107"/>
        <v>260108</v>
      </c>
      <c r="J72" s="242">
        <v>619000</v>
      </c>
      <c r="K72" s="242"/>
      <c r="L72" s="242"/>
      <c r="M72" s="242"/>
      <c r="N72" s="242"/>
      <c r="O72" s="242"/>
      <c r="P72" s="241">
        <f t="shared" si="108"/>
        <v>619000</v>
      </c>
      <c r="R72" s="242">
        <v>247533</v>
      </c>
      <c r="S72" s="242"/>
      <c r="T72" s="242"/>
      <c r="U72" s="242"/>
      <c r="V72" s="242"/>
      <c r="W72" s="242"/>
      <c r="X72" s="241">
        <f t="shared" si="109"/>
        <v>247533</v>
      </c>
      <c r="Z72" s="242">
        <v>291746</v>
      </c>
      <c r="AA72" s="242"/>
      <c r="AB72" s="242"/>
      <c r="AC72" s="242"/>
      <c r="AD72" s="242"/>
      <c r="AE72" s="242"/>
      <c r="AF72" s="241">
        <f t="shared" si="110"/>
        <v>291746</v>
      </c>
      <c r="AH72" s="242">
        <v>588316</v>
      </c>
      <c r="AI72" s="242"/>
      <c r="AJ72" s="242"/>
      <c r="AK72" s="242"/>
      <c r="AL72" s="242"/>
      <c r="AM72" s="242"/>
      <c r="AN72" s="241">
        <f t="shared" si="111"/>
        <v>588316</v>
      </c>
      <c r="AP72" s="242">
        <v>99902</v>
      </c>
      <c r="AQ72" s="242"/>
      <c r="AR72" s="242"/>
      <c r="AS72" s="242"/>
      <c r="AT72" s="242"/>
      <c r="AU72" s="242"/>
      <c r="AV72" s="241">
        <f t="shared" si="112"/>
        <v>99902</v>
      </c>
      <c r="AX72" s="242">
        <v>37126</v>
      </c>
      <c r="AY72" s="242"/>
      <c r="AZ72" s="242"/>
      <c r="BA72" s="242"/>
      <c r="BB72" s="242"/>
      <c r="BC72" s="242"/>
      <c r="BD72" s="241">
        <f t="shared" si="113"/>
        <v>37126</v>
      </c>
      <c r="BF72" s="242"/>
      <c r="BG72" s="242"/>
      <c r="BH72" s="242"/>
      <c r="BI72" s="242"/>
      <c r="BJ72" s="242"/>
      <c r="BK72" s="242"/>
      <c r="BL72" s="241"/>
      <c r="BN72" s="241">
        <f t="shared" si="115"/>
        <v>2143731</v>
      </c>
      <c r="BO72" s="241">
        <f t="shared" si="116"/>
        <v>0</v>
      </c>
      <c r="BP72" s="241">
        <f t="shared" si="117"/>
        <v>0</v>
      </c>
      <c r="BQ72" s="241">
        <f t="shared" si="118"/>
        <v>0</v>
      </c>
      <c r="BR72" s="241">
        <f t="shared" si="119"/>
        <v>0</v>
      </c>
      <c r="BS72" s="241">
        <f t="shared" si="120"/>
        <v>0</v>
      </c>
      <c r="BT72" s="241">
        <f t="shared" si="121"/>
        <v>2143731</v>
      </c>
      <c r="BV72" s="241">
        <v>2246270</v>
      </c>
      <c r="BW72" s="286">
        <f t="shared" si="9"/>
        <v>-102539</v>
      </c>
    </row>
    <row r="73" spans="1:75" x14ac:dyDescent="0.25">
      <c r="A73" s="201" t="s">
        <v>220</v>
      </c>
      <c r="B73" s="242"/>
      <c r="C73" s="243">
        <v>157805</v>
      </c>
      <c r="D73" s="242"/>
      <c r="E73" s="242"/>
      <c r="F73" s="242"/>
      <c r="G73" s="242"/>
      <c r="H73" s="241">
        <f t="shared" si="107"/>
        <v>157805</v>
      </c>
      <c r="J73" s="242"/>
      <c r="K73" s="242">
        <v>450210</v>
      </c>
      <c r="L73" s="242"/>
      <c r="M73" s="242"/>
      <c r="N73" s="242"/>
      <c r="O73" s="242"/>
      <c r="P73" s="241">
        <f t="shared" si="108"/>
        <v>450210</v>
      </c>
      <c r="R73" s="242"/>
      <c r="S73" s="242">
        <v>128410</v>
      </c>
      <c r="T73" s="242"/>
      <c r="U73" s="242"/>
      <c r="V73" s="242"/>
      <c r="W73" s="242"/>
      <c r="X73" s="241">
        <f t="shared" si="109"/>
        <v>128410</v>
      </c>
      <c r="Z73" s="242"/>
      <c r="AA73" s="242">
        <v>170182</v>
      </c>
      <c r="AB73" s="242"/>
      <c r="AC73" s="242"/>
      <c r="AD73" s="242"/>
      <c r="AE73" s="242"/>
      <c r="AF73" s="241">
        <f t="shared" si="110"/>
        <v>170182</v>
      </c>
      <c r="AH73" s="242"/>
      <c r="AI73" s="242">
        <v>326441</v>
      </c>
      <c r="AJ73" s="242"/>
      <c r="AK73" s="242"/>
      <c r="AL73" s="242"/>
      <c r="AM73" s="242"/>
      <c r="AN73" s="241">
        <f t="shared" si="111"/>
        <v>326441</v>
      </c>
      <c r="AP73" s="242"/>
      <c r="AQ73" s="242">
        <v>0</v>
      </c>
      <c r="AR73" s="242"/>
      <c r="AS73" s="242"/>
      <c r="AT73" s="242"/>
      <c r="AU73" s="242"/>
      <c r="AV73" s="241">
        <f t="shared" si="112"/>
        <v>0</v>
      </c>
      <c r="AX73" s="242"/>
      <c r="AY73" s="243">
        <v>15471</v>
      </c>
      <c r="AZ73" s="242"/>
      <c r="BA73" s="242"/>
      <c r="BB73" s="242"/>
      <c r="BC73" s="242"/>
      <c r="BD73" s="241">
        <f t="shared" si="113"/>
        <v>15471</v>
      </c>
      <c r="BF73" s="242"/>
      <c r="BG73" s="242"/>
      <c r="BH73" s="242"/>
      <c r="BI73" s="242"/>
      <c r="BJ73" s="242"/>
      <c r="BK73" s="242"/>
      <c r="BL73" s="241">
        <f t="shared" si="114"/>
        <v>0</v>
      </c>
      <c r="BN73" s="241">
        <f t="shared" si="115"/>
        <v>0</v>
      </c>
      <c r="BO73" s="241">
        <f t="shared" si="116"/>
        <v>1248519</v>
      </c>
      <c r="BP73" s="241">
        <f t="shared" si="117"/>
        <v>0</v>
      </c>
      <c r="BQ73" s="241">
        <f t="shared" si="118"/>
        <v>0</v>
      </c>
      <c r="BR73" s="241">
        <f t="shared" si="119"/>
        <v>0</v>
      </c>
      <c r="BS73" s="241">
        <f t="shared" si="120"/>
        <v>0</v>
      </c>
      <c r="BT73" s="241">
        <f t="shared" ref="BT73:BT81" si="122">SUM(BN73:BS73)</f>
        <v>1248519</v>
      </c>
      <c r="BV73" s="241">
        <v>1248519</v>
      </c>
      <c r="BW73" s="286">
        <f t="shared" si="9"/>
        <v>0</v>
      </c>
    </row>
    <row r="74" spans="1:75" x14ac:dyDescent="0.25">
      <c r="A74" s="201" t="s">
        <v>221</v>
      </c>
      <c r="B74" s="244"/>
      <c r="C74" s="244">
        <f>3600*C21</f>
        <v>403200</v>
      </c>
      <c r="D74" s="244"/>
      <c r="E74" s="244"/>
      <c r="F74" s="244"/>
      <c r="G74" s="244"/>
      <c r="H74" s="241">
        <f t="shared" si="107"/>
        <v>403200</v>
      </c>
      <c r="J74" s="244"/>
      <c r="K74" s="244">
        <f>3600*K21</f>
        <v>1026000</v>
      </c>
      <c r="L74" s="244"/>
      <c r="M74" s="244"/>
      <c r="N74" s="244"/>
      <c r="O74" s="244"/>
      <c r="P74" s="241">
        <f t="shared" si="108"/>
        <v>1026000</v>
      </c>
      <c r="R74" s="244"/>
      <c r="S74" s="244">
        <f>3600*S21</f>
        <v>288000</v>
      </c>
      <c r="T74" s="244"/>
      <c r="U74" s="244"/>
      <c r="V74" s="244"/>
      <c r="W74" s="244"/>
      <c r="X74" s="241">
        <f t="shared" si="109"/>
        <v>288000</v>
      </c>
      <c r="Z74" s="244"/>
      <c r="AA74" s="244">
        <f>3600*AA21</f>
        <v>360000</v>
      </c>
      <c r="AB74" s="244"/>
      <c r="AC74" s="244"/>
      <c r="AD74" s="244"/>
      <c r="AE74" s="244"/>
      <c r="AF74" s="241">
        <f t="shared" si="110"/>
        <v>360000</v>
      </c>
      <c r="AH74" s="244"/>
      <c r="AI74" s="244">
        <f>3600*AI21</f>
        <v>709200</v>
      </c>
      <c r="AJ74" s="244"/>
      <c r="AK74" s="244"/>
      <c r="AL74" s="244"/>
      <c r="AM74" s="244"/>
      <c r="AN74" s="241">
        <f t="shared" si="111"/>
        <v>709200</v>
      </c>
      <c r="AP74" s="244"/>
      <c r="AQ74" s="244">
        <f>3600*AQ21</f>
        <v>100800</v>
      </c>
      <c r="AR74" s="244"/>
      <c r="AS74" s="244"/>
      <c r="AT74" s="244"/>
      <c r="AU74" s="244"/>
      <c r="AV74" s="241">
        <f t="shared" si="112"/>
        <v>100800</v>
      </c>
      <c r="AX74" s="244"/>
      <c r="AY74" s="244">
        <f>3600*AY21</f>
        <v>75600</v>
      </c>
      <c r="AZ74" s="244"/>
      <c r="BA74" s="244"/>
      <c r="BB74" s="244"/>
      <c r="BC74" s="244"/>
      <c r="BD74" s="241">
        <f t="shared" si="113"/>
        <v>75600</v>
      </c>
      <c r="BF74" s="242"/>
      <c r="BG74" s="242"/>
      <c r="BH74" s="242"/>
      <c r="BI74" s="242"/>
      <c r="BJ74" s="242"/>
      <c r="BK74" s="242"/>
      <c r="BL74" s="241">
        <f t="shared" si="114"/>
        <v>0</v>
      </c>
      <c r="BN74" s="241">
        <f t="shared" si="115"/>
        <v>0</v>
      </c>
      <c r="BO74" s="241">
        <f t="shared" si="116"/>
        <v>2962800</v>
      </c>
      <c r="BP74" s="241">
        <f t="shared" si="117"/>
        <v>0</v>
      </c>
      <c r="BQ74" s="241">
        <f t="shared" si="118"/>
        <v>0</v>
      </c>
      <c r="BR74" s="241">
        <f t="shared" si="119"/>
        <v>0</v>
      </c>
      <c r="BS74" s="241">
        <f t="shared" si="120"/>
        <v>0</v>
      </c>
      <c r="BT74" s="241">
        <f t="shared" si="122"/>
        <v>2962800</v>
      </c>
      <c r="BV74" s="241">
        <v>2855200</v>
      </c>
      <c r="BW74" s="286">
        <f t="shared" si="9"/>
        <v>107600</v>
      </c>
    </row>
    <row r="75" spans="1:75" x14ac:dyDescent="0.25">
      <c r="A75" s="201" t="s">
        <v>222</v>
      </c>
      <c r="B75" s="244"/>
      <c r="C75" s="244">
        <v>109558</v>
      </c>
      <c r="D75" s="244"/>
      <c r="E75" s="244"/>
      <c r="F75" s="244"/>
      <c r="G75" s="244"/>
      <c r="H75" s="241">
        <f t="shared" si="107"/>
        <v>109558</v>
      </c>
      <c r="J75" s="244"/>
      <c r="K75" s="244">
        <v>278785</v>
      </c>
      <c r="L75" s="244"/>
      <c r="M75" s="244"/>
      <c r="N75" s="244"/>
      <c r="O75" s="244"/>
      <c r="P75" s="241">
        <f t="shared" si="108"/>
        <v>278785</v>
      </c>
      <c r="R75" s="244"/>
      <c r="S75" s="244">
        <v>78255</v>
      </c>
      <c r="T75" s="244"/>
      <c r="U75" s="244"/>
      <c r="V75" s="244"/>
      <c r="W75" s="244"/>
      <c r="X75" s="241">
        <f t="shared" si="109"/>
        <v>78255</v>
      </c>
      <c r="Z75" s="244"/>
      <c r="AA75" s="244">
        <v>97820</v>
      </c>
      <c r="AB75" s="244"/>
      <c r="AC75" s="244"/>
      <c r="AD75" s="244"/>
      <c r="AE75" s="244"/>
      <c r="AF75" s="241">
        <f t="shared" si="110"/>
        <v>97820</v>
      </c>
      <c r="AH75" s="244"/>
      <c r="AI75" s="244">
        <v>192705</v>
      </c>
      <c r="AJ75" s="244"/>
      <c r="AK75" s="244"/>
      <c r="AL75" s="244"/>
      <c r="AM75" s="244"/>
      <c r="AN75" s="241">
        <f t="shared" si="111"/>
        <v>192705</v>
      </c>
      <c r="AP75" s="244"/>
      <c r="AQ75" s="244">
        <v>27390</v>
      </c>
      <c r="AR75" s="244"/>
      <c r="AS75" s="244"/>
      <c r="AT75" s="244"/>
      <c r="AU75" s="244"/>
      <c r="AV75" s="241">
        <f t="shared" si="112"/>
        <v>27390</v>
      </c>
      <c r="AX75" s="244"/>
      <c r="AY75" s="244">
        <v>20542</v>
      </c>
      <c r="AZ75" s="244"/>
      <c r="BA75" s="244"/>
      <c r="BB75" s="244"/>
      <c r="BC75" s="244"/>
      <c r="BD75" s="241">
        <f t="shared" si="113"/>
        <v>20542</v>
      </c>
      <c r="BF75" s="242"/>
      <c r="BG75" s="242"/>
      <c r="BH75" s="242"/>
      <c r="BI75" s="242"/>
      <c r="BJ75" s="242"/>
      <c r="BK75" s="242"/>
      <c r="BL75" s="241">
        <f t="shared" si="114"/>
        <v>0</v>
      </c>
      <c r="BN75" s="241">
        <f t="shared" si="115"/>
        <v>0</v>
      </c>
      <c r="BO75" s="241">
        <f t="shared" si="116"/>
        <v>805055</v>
      </c>
      <c r="BP75" s="241">
        <f t="shared" si="117"/>
        <v>0</v>
      </c>
      <c r="BQ75" s="241">
        <f t="shared" si="118"/>
        <v>0</v>
      </c>
      <c r="BR75" s="241">
        <f t="shared" si="119"/>
        <v>0</v>
      </c>
      <c r="BS75" s="241">
        <f t="shared" si="120"/>
        <v>0</v>
      </c>
      <c r="BT75" s="241">
        <f t="shared" si="122"/>
        <v>805055</v>
      </c>
      <c r="BV75" s="241">
        <v>805055</v>
      </c>
      <c r="BW75" s="286">
        <f t="shared" si="9"/>
        <v>0</v>
      </c>
    </row>
    <row r="76" spans="1:75" x14ac:dyDescent="0.25">
      <c r="A76" s="201" t="s">
        <v>223</v>
      </c>
      <c r="B76" s="242">
        <v>60000</v>
      </c>
      <c r="C76" s="244"/>
      <c r="D76" s="244"/>
      <c r="E76" s="244"/>
      <c r="F76" s="244"/>
      <c r="G76" s="244"/>
      <c r="H76" s="241">
        <f t="shared" si="107"/>
        <v>60000</v>
      </c>
      <c r="J76" s="242">
        <v>185000</v>
      </c>
      <c r="K76" s="244"/>
      <c r="L76" s="244"/>
      <c r="M76" s="244"/>
      <c r="N76" s="244"/>
      <c r="O76" s="244"/>
      <c r="P76" s="241">
        <f t="shared" si="108"/>
        <v>185000</v>
      </c>
      <c r="R76" s="242">
        <v>60000</v>
      </c>
      <c r="S76" s="244"/>
      <c r="T76" s="244"/>
      <c r="U76" s="244"/>
      <c r="V76" s="244"/>
      <c r="W76" s="244"/>
      <c r="X76" s="241">
        <f t="shared" si="109"/>
        <v>60000</v>
      </c>
      <c r="Z76" s="242">
        <v>60000</v>
      </c>
      <c r="AA76" s="244"/>
      <c r="AB76" s="244"/>
      <c r="AC76" s="244"/>
      <c r="AD76" s="244"/>
      <c r="AE76" s="244"/>
      <c r="AF76" s="241">
        <f t="shared" si="110"/>
        <v>60000</v>
      </c>
      <c r="AH76" s="242">
        <v>185000</v>
      </c>
      <c r="AI76" s="244"/>
      <c r="AJ76" s="244"/>
      <c r="AK76" s="244"/>
      <c r="AL76" s="244"/>
      <c r="AM76" s="244"/>
      <c r="AN76" s="241">
        <f t="shared" si="111"/>
        <v>185000</v>
      </c>
      <c r="AP76" s="242">
        <v>0</v>
      </c>
      <c r="AQ76" s="244"/>
      <c r="AR76" s="244"/>
      <c r="AS76" s="244"/>
      <c r="AT76" s="244"/>
      <c r="AU76" s="244"/>
      <c r="AV76" s="241">
        <f t="shared" si="112"/>
        <v>0</v>
      </c>
      <c r="AX76" s="242">
        <v>0</v>
      </c>
      <c r="AY76" s="242"/>
      <c r="AZ76" s="242"/>
      <c r="BA76" s="244"/>
      <c r="BB76" s="244"/>
      <c r="BC76" s="244"/>
      <c r="BD76" s="241">
        <f t="shared" si="113"/>
        <v>0</v>
      </c>
      <c r="BF76" s="242">
        <f>55000*12</f>
        <v>660000</v>
      </c>
      <c r="BG76" s="242"/>
      <c r="BH76" s="242"/>
      <c r="BI76" s="242"/>
      <c r="BJ76" s="242"/>
      <c r="BK76" s="242"/>
      <c r="BL76" s="241">
        <f t="shared" si="114"/>
        <v>660000</v>
      </c>
      <c r="BN76" s="241">
        <f t="shared" si="115"/>
        <v>1210000</v>
      </c>
      <c r="BO76" s="241">
        <f t="shared" si="116"/>
        <v>0</v>
      </c>
      <c r="BP76" s="241">
        <f t="shared" si="117"/>
        <v>0</v>
      </c>
      <c r="BQ76" s="241">
        <f t="shared" si="118"/>
        <v>0</v>
      </c>
      <c r="BR76" s="241">
        <f t="shared" si="119"/>
        <v>0</v>
      </c>
      <c r="BS76" s="241">
        <f t="shared" si="120"/>
        <v>0</v>
      </c>
      <c r="BT76" s="241">
        <f t="shared" si="122"/>
        <v>1210000</v>
      </c>
      <c r="BV76" s="241">
        <v>275000</v>
      </c>
      <c r="BW76" s="286">
        <f t="shared" si="9"/>
        <v>935000</v>
      </c>
    </row>
    <row r="77" spans="1:75" x14ac:dyDescent="0.25">
      <c r="A77" s="201" t="s">
        <v>224</v>
      </c>
      <c r="B77" s="244"/>
      <c r="C77" s="244"/>
      <c r="D77" s="244"/>
      <c r="E77" s="244"/>
      <c r="F77" s="244">
        <f>76480+18732</f>
        <v>95212</v>
      </c>
      <c r="G77" s="244"/>
      <c r="H77" s="241">
        <f t="shared" si="107"/>
        <v>95212</v>
      </c>
      <c r="J77" s="244"/>
      <c r="K77" s="244"/>
      <c r="L77" s="244"/>
      <c r="M77" s="244"/>
      <c r="N77" s="244">
        <v>49770</v>
      </c>
      <c r="O77" s="244"/>
      <c r="P77" s="241">
        <f t="shared" si="108"/>
        <v>49770</v>
      </c>
      <c r="R77" s="244"/>
      <c r="S77" s="244"/>
      <c r="T77" s="244"/>
      <c r="U77" s="244"/>
      <c r="V77" s="244">
        <v>0</v>
      </c>
      <c r="W77" s="244"/>
      <c r="X77" s="241">
        <f t="shared" si="109"/>
        <v>0</v>
      </c>
      <c r="Z77" s="244"/>
      <c r="AA77" s="244"/>
      <c r="AB77" s="244"/>
      <c r="AC77" s="244"/>
      <c r="AD77" s="244"/>
      <c r="AE77" s="244"/>
      <c r="AF77" s="241">
        <f t="shared" si="110"/>
        <v>0</v>
      </c>
      <c r="AH77" s="244"/>
      <c r="AI77" s="244"/>
      <c r="AJ77" s="244"/>
      <c r="AK77" s="244"/>
      <c r="AL77" s="244"/>
      <c r="AM77" s="244"/>
      <c r="AN77" s="241">
        <f t="shared" si="111"/>
        <v>0</v>
      </c>
      <c r="AP77" s="244"/>
      <c r="AQ77" s="244"/>
      <c r="AR77" s="244"/>
      <c r="AS77" s="244"/>
      <c r="AT77" s="244">
        <f>49920+5000</f>
        <v>54920</v>
      </c>
      <c r="AU77" s="244"/>
      <c r="AV77" s="241">
        <f t="shared" si="112"/>
        <v>54920</v>
      </c>
      <c r="AX77" s="242"/>
      <c r="AY77" s="242"/>
      <c r="AZ77" s="242"/>
      <c r="BA77" s="244"/>
      <c r="BB77" s="244">
        <v>23520</v>
      </c>
      <c r="BC77" s="244"/>
      <c r="BD77" s="241">
        <f t="shared" si="113"/>
        <v>23520</v>
      </c>
      <c r="BF77" s="242"/>
      <c r="BG77" s="242"/>
      <c r="BH77" s="242"/>
      <c r="BI77" s="242"/>
      <c r="BJ77" s="242">
        <f>145235+192192+290000+120000</f>
        <v>747427</v>
      </c>
      <c r="BK77" s="242"/>
      <c r="BL77" s="241">
        <f t="shared" si="114"/>
        <v>747427</v>
      </c>
      <c r="BN77" s="241">
        <f t="shared" si="115"/>
        <v>0</v>
      </c>
      <c r="BO77" s="241">
        <f t="shared" si="116"/>
        <v>0</v>
      </c>
      <c r="BP77" s="241">
        <f t="shared" si="117"/>
        <v>0</v>
      </c>
      <c r="BQ77" s="241">
        <f t="shared" si="118"/>
        <v>0</v>
      </c>
      <c r="BR77" s="241">
        <f t="shared" si="119"/>
        <v>970849</v>
      </c>
      <c r="BS77" s="241">
        <f t="shared" si="120"/>
        <v>0</v>
      </c>
      <c r="BT77" s="241">
        <f t="shared" si="122"/>
        <v>970849</v>
      </c>
      <c r="BV77" s="241">
        <v>850849</v>
      </c>
      <c r="BW77" s="286">
        <f t="shared" si="9"/>
        <v>120000</v>
      </c>
    </row>
    <row r="78" spans="1:75" x14ac:dyDescent="0.25">
      <c r="A78" s="201" t="s">
        <v>225</v>
      </c>
      <c r="B78" s="244"/>
      <c r="C78" s="244"/>
      <c r="D78" s="244"/>
      <c r="E78" s="244"/>
      <c r="F78" s="244"/>
      <c r="G78" s="244">
        <v>0</v>
      </c>
      <c r="H78" s="241">
        <f t="shared" si="107"/>
        <v>0</v>
      </c>
      <c r="J78" s="244">
        <f>AX163</f>
        <v>112000</v>
      </c>
      <c r="K78" s="244"/>
      <c r="L78" s="244"/>
      <c r="M78" s="244"/>
      <c r="N78" s="244"/>
      <c r="O78" s="244">
        <v>0</v>
      </c>
      <c r="P78" s="241">
        <f t="shared" si="108"/>
        <v>112000</v>
      </c>
      <c r="R78" s="244"/>
      <c r="S78" s="244"/>
      <c r="T78" s="244"/>
      <c r="U78" s="244"/>
      <c r="V78" s="244"/>
      <c r="W78" s="244">
        <v>0</v>
      </c>
      <c r="X78" s="241">
        <f t="shared" si="109"/>
        <v>0</v>
      </c>
      <c r="Z78" s="244"/>
      <c r="AA78" s="244"/>
      <c r="AB78" s="244"/>
      <c r="AC78" s="244"/>
      <c r="AD78" s="244"/>
      <c r="AE78" s="244">
        <v>0</v>
      </c>
      <c r="AF78" s="241">
        <f t="shared" si="110"/>
        <v>0</v>
      </c>
      <c r="AH78" s="244"/>
      <c r="AI78" s="244"/>
      <c r="AJ78" s="244"/>
      <c r="AK78" s="244"/>
      <c r="AL78" s="244"/>
      <c r="AM78" s="244">
        <v>0</v>
      </c>
      <c r="AN78" s="241">
        <f t="shared" si="111"/>
        <v>0</v>
      </c>
      <c r="AP78" s="244"/>
      <c r="AQ78" s="244"/>
      <c r="AR78" s="244"/>
      <c r="AS78" s="244"/>
      <c r="AT78" s="244"/>
      <c r="AU78" s="244">
        <v>0</v>
      </c>
      <c r="AV78" s="241">
        <f t="shared" si="112"/>
        <v>0</v>
      </c>
      <c r="AX78" s="242"/>
      <c r="AY78" s="242"/>
      <c r="AZ78" s="242"/>
      <c r="BA78" s="244"/>
      <c r="BB78" s="244"/>
      <c r="BC78" s="244">
        <v>0</v>
      </c>
      <c r="BD78" s="241">
        <f t="shared" si="113"/>
        <v>0</v>
      </c>
      <c r="BF78" s="242">
        <v>639741</v>
      </c>
      <c r="BG78" s="242"/>
      <c r="BH78" s="242"/>
      <c r="BI78" s="242"/>
      <c r="BJ78" s="242"/>
      <c r="BK78" s="242"/>
      <c r="BL78" s="241">
        <f t="shared" si="114"/>
        <v>639741</v>
      </c>
      <c r="BN78" s="241">
        <f t="shared" si="115"/>
        <v>751741</v>
      </c>
      <c r="BO78" s="241">
        <f t="shared" si="116"/>
        <v>0</v>
      </c>
      <c r="BP78" s="241">
        <f t="shared" si="117"/>
        <v>0</v>
      </c>
      <c r="BQ78" s="241">
        <f t="shared" si="118"/>
        <v>0</v>
      </c>
      <c r="BR78" s="241">
        <f t="shared" si="119"/>
        <v>0</v>
      </c>
      <c r="BS78" s="241">
        <f t="shared" si="120"/>
        <v>0</v>
      </c>
      <c r="BT78" s="241">
        <f t="shared" si="122"/>
        <v>751741</v>
      </c>
      <c r="BV78" s="241">
        <v>112000</v>
      </c>
      <c r="BW78" s="286">
        <f t="shared" si="9"/>
        <v>639741</v>
      </c>
    </row>
    <row r="79" spans="1:75" x14ac:dyDescent="0.25">
      <c r="A79" s="201" t="s">
        <v>226</v>
      </c>
      <c r="B79" s="244"/>
      <c r="C79" s="244"/>
      <c r="D79" s="244"/>
      <c r="E79" s="244"/>
      <c r="F79" s="244"/>
      <c r="G79" s="244">
        <v>300000</v>
      </c>
      <c r="H79" s="241">
        <f t="shared" si="107"/>
        <v>300000</v>
      </c>
      <c r="J79" s="244"/>
      <c r="K79" s="244"/>
      <c r="L79" s="244"/>
      <c r="M79" s="244"/>
      <c r="N79" s="244"/>
      <c r="O79" s="244">
        <v>1500000</v>
      </c>
      <c r="P79" s="241">
        <f t="shared" si="108"/>
        <v>1500000</v>
      </c>
      <c r="R79" s="244"/>
      <c r="S79" s="244"/>
      <c r="T79" s="244"/>
      <c r="U79" s="244"/>
      <c r="V79" s="244"/>
      <c r="W79" s="244">
        <v>850000</v>
      </c>
      <c r="X79" s="241">
        <f t="shared" si="109"/>
        <v>850000</v>
      </c>
      <c r="Z79" s="244"/>
      <c r="AA79" s="244"/>
      <c r="AB79" s="244"/>
      <c r="AC79" s="244"/>
      <c r="AD79" s="244"/>
      <c r="AE79" s="244">
        <v>900000</v>
      </c>
      <c r="AF79" s="241">
        <f t="shared" si="110"/>
        <v>900000</v>
      </c>
      <c r="AH79" s="244"/>
      <c r="AI79" s="244"/>
      <c r="AJ79" s="244"/>
      <c r="AK79" s="244"/>
      <c r="AL79" s="244"/>
      <c r="AM79" s="244">
        <v>2500000</v>
      </c>
      <c r="AN79" s="241">
        <f t="shared" si="111"/>
        <v>2500000</v>
      </c>
      <c r="AP79" s="244"/>
      <c r="AQ79" s="244"/>
      <c r="AR79" s="244"/>
      <c r="AS79" s="244"/>
      <c r="AT79" s="244"/>
      <c r="AU79" s="244">
        <v>100000</v>
      </c>
      <c r="AV79" s="241">
        <f t="shared" si="112"/>
        <v>100000</v>
      </c>
      <c r="AX79" s="242"/>
      <c r="AY79" s="242"/>
      <c r="AZ79" s="242"/>
      <c r="BA79" s="244"/>
      <c r="BB79" s="244"/>
      <c r="BC79" s="244">
        <v>25000</v>
      </c>
      <c r="BD79" s="241">
        <f t="shared" si="113"/>
        <v>25000</v>
      </c>
      <c r="BF79" s="242"/>
      <c r="BG79" s="242"/>
      <c r="BH79" s="242"/>
      <c r="BI79" s="242"/>
      <c r="BJ79" s="242"/>
      <c r="BK79" s="242"/>
      <c r="BL79" s="241">
        <f t="shared" si="114"/>
        <v>0</v>
      </c>
      <c r="BN79" s="241">
        <f t="shared" si="115"/>
        <v>0</v>
      </c>
      <c r="BO79" s="241">
        <f t="shared" si="116"/>
        <v>0</v>
      </c>
      <c r="BP79" s="241">
        <f t="shared" si="117"/>
        <v>0</v>
      </c>
      <c r="BQ79" s="241">
        <f t="shared" si="118"/>
        <v>0</v>
      </c>
      <c r="BR79" s="241">
        <f t="shared" si="119"/>
        <v>0</v>
      </c>
      <c r="BS79" s="241">
        <f t="shared" si="120"/>
        <v>6175000</v>
      </c>
      <c r="BT79" s="241">
        <f t="shared" si="122"/>
        <v>6175000</v>
      </c>
      <c r="BV79" s="241">
        <v>6175000</v>
      </c>
      <c r="BW79" s="286">
        <f t="shared" si="9"/>
        <v>0</v>
      </c>
    </row>
    <row r="80" spans="1:75" x14ac:dyDescent="0.25">
      <c r="A80" s="201" t="s">
        <v>227</v>
      </c>
      <c r="B80" s="244"/>
      <c r="C80" s="244"/>
      <c r="D80" s="242">
        <f>((125*2.37)*180)</f>
        <v>53325</v>
      </c>
      <c r="E80" s="244"/>
      <c r="F80" s="244"/>
      <c r="G80" s="244"/>
      <c r="H80" s="241">
        <f t="shared" si="107"/>
        <v>53325</v>
      </c>
      <c r="J80" s="244"/>
      <c r="K80" s="244"/>
      <c r="L80" s="242">
        <f>((200*2.37)*180)</f>
        <v>85320</v>
      </c>
      <c r="M80" s="244"/>
      <c r="N80" s="244"/>
      <c r="O80" s="244"/>
      <c r="P80" s="241">
        <f t="shared" si="108"/>
        <v>85320</v>
      </c>
      <c r="R80" s="244"/>
      <c r="S80" s="244"/>
      <c r="T80" s="242">
        <v>0</v>
      </c>
      <c r="U80" s="244"/>
      <c r="V80" s="244"/>
      <c r="W80" s="244"/>
      <c r="X80" s="241">
        <f t="shared" si="109"/>
        <v>0</v>
      </c>
      <c r="Z80" s="244"/>
      <c r="AA80" s="244"/>
      <c r="AB80" s="242">
        <v>0</v>
      </c>
      <c r="AC80" s="244"/>
      <c r="AD80" s="244"/>
      <c r="AE80" s="244"/>
      <c r="AF80" s="241">
        <f t="shared" si="110"/>
        <v>0</v>
      </c>
      <c r="AH80" s="244"/>
      <c r="AI80" s="244"/>
      <c r="AJ80" s="242">
        <v>0</v>
      </c>
      <c r="AK80" s="244"/>
      <c r="AL80" s="244"/>
      <c r="AM80" s="244"/>
      <c r="AN80" s="241">
        <f t="shared" si="111"/>
        <v>0</v>
      </c>
      <c r="AP80" s="244"/>
      <c r="AQ80" s="244"/>
      <c r="AR80" s="242">
        <f>(((70*0.9)*2.37)*180)+(((70*0.1)*0.39)*180)</f>
        <v>27367.200000000001</v>
      </c>
      <c r="AS80" s="244"/>
      <c r="AT80" s="244"/>
      <c r="AU80" s="244"/>
      <c r="AV80" s="241">
        <f t="shared" si="112"/>
        <v>27367.200000000001</v>
      </c>
      <c r="AX80" s="242"/>
      <c r="AY80" s="242"/>
      <c r="AZ80" s="242">
        <v>0</v>
      </c>
      <c r="BA80" s="244"/>
      <c r="BB80" s="244"/>
      <c r="BC80" s="244"/>
      <c r="BD80" s="241">
        <f t="shared" si="113"/>
        <v>0</v>
      </c>
      <c r="BF80" s="242"/>
      <c r="BG80" s="242"/>
      <c r="BH80" s="242"/>
      <c r="BI80" s="242"/>
      <c r="BJ80" s="242"/>
      <c r="BK80" s="242"/>
      <c r="BL80" s="241">
        <f t="shared" si="114"/>
        <v>0</v>
      </c>
      <c r="BN80" s="241">
        <f t="shared" si="115"/>
        <v>0</v>
      </c>
      <c r="BO80" s="241">
        <f t="shared" si="116"/>
        <v>0</v>
      </c>
      <c r="BP80" s="241">
        <f t="shared" si="117"/>
        <v>166012.20000000001</v>
      </c>
      <c r="BQ80" s="241">
        <f t="shared" si="118"/>
        <v>0</v>
      </c>
      <c r="BR80" s="241">
        <f t="shared" si="119"/>
        <v>0</v>
      </c>
      <c r="BS80" s="241">
        <f t="shared" si="120"/>
        <v>0</v>
      </c>
      <c r="BT80" s="241">
        <f t="shared" si="122"/>
        <v>166012.20000000001</v>
      </c>
      <c r="BV80" s="241">
        <v>166012.20000000001</v>
      </c>
      <c r="BW80" s="286">
        <f t="shared" si="9"/>
        <v>0</v>
      </c>
    </row>
    <row r="81" spans="1:75" x14ac:dyDescent="0.25">
      <c r="A81" s="202" t="s">
        <v>228</v>
      </c>
      <c r="B81" s="245"/>
      <c r="C81" s="245"/>
      <c r="D81" s="242">
        <f>(5.51*25*180)+(50*4.12*180)+(175*4.52*180)</f>
        <v>204254.99999999997</v>
      </c>
      <c r="E81" s="245"/>
      <c r="F81" s="245"/>
      <c r="G81" s="245"/>
      <c r="H81" s="241">
        <f t="shared" si="107"/>
        <v>204254.99999999997</v>
      </c>
      <c r="J81" s="245"/>
      <c r="K81" s="245"/>
      <c r="L81" s="242">
        <f>(5.01*75*180)+(150*4.12*180)+(300*4.52*180)</f>
        <v>422955</v>
      </c>
      <c r="M81" s="245"/>
      <c r="N81" s="245"/>
      <c r="O81" s="245"/>
      <c r="P81" s="241">
        <f t="shared" si="108"/>
        <v>422955</v>
      </c>
      <c r="R81" s="245"/>
      <c r="S81" s="245"/>
      <c r="T81" s="242">
        <f>(5.01*55*180)+(19*4.12*180)+(91*4.52*180)</f>
        <v>137727</v>
      </c>
      <c r="U81" s="245"/>
      <c r="V81" s="245"/>
      <c r="W81" s="245"/>
      <c r="X81" s="241">
        <f t="shared" si="109"/>
        <v>137727</v>
      </c>
      <c r="Z81" s="245"/>
      <c r="AA81" s="245"/>
      <c r="AB81" s="242">
        <f>(5.01*64*180)+((2*4.12*180)+(39*4.52*180))</f>
        <v>90928.799999999988</v>
      </c>
      <c r="AC81" s="245"/>
      <c r="AD81" s="245"/>
      <c r="AE81" s="245"/>
      <c r="AF81" s="241">
        <f t="shared" si="110"/>
        <v>90928.799999999988</v>
      </c>
      <c r="AH81" s="245"/>
      <c r="AI81" s="245"/>
      <c r="AJ81" s="242">
        <f>(5.01*136*180)+(20*4.12*180)+(119*4.52*180)</f>
        <v>234295.2</v>
      </c>
      <c r="AK81" s="245"/>
      <c r="AL81" s="245"/>
      <c r="AM81" s="245"/>
      <c r="AN81" s="241">
        <f t="shared" si="111"/>
        <v>234295.2</v>
      </c>
      <c r="AP81" s="245"/>
      <c r="AQ81" s="245"/>
      <c r="AR81" s="242">
        <f>(((175*0.9)*4.52)*180)+(((175*0.1)*0.51)*180)</f>
        <v>129748.5</v>
      </c>
      <c r="AS81" s="245"/>
      <c r="AT81" s="245"/>
      <c r="AU81" s="245"/>
      <c r="AV81" s="241">
        <f t="shared" si="112"/>
        <v>129748.5</v>
      </c>
      <c r="AX81" s="282"/>
      <c r="AY81" s="282"/>
      <c r="AZ81" s="242"/>
      <c r="BA81" s="245"/>
      <c r="BB81" s="245"/>
      <c r="BC81" s="245"/>
      <c r="BD81" s="241">
        <f t="shared" si="113"/>
        <v>0</v>
      </c>
      <c r="BF81" s="282"/>
      <c r="BG81" s="282"/>
      <c r="BH81" s="242"/>
      <c r="BI81" s="282"/>
      <c r="BJ81" s="282"/>
      <c r="BK81" s="282"/>
      <c r="BL81" s="241">
        <f t="shared" si="114"/>
        <v>0</v>
      </c>
      <c r="BN81" s="241">
        <f t="shared" si="115"/>
        <v>0</v>
      </c>
      <c r="BO81" s="241">
        <f t="shared" si="116"/>
        <v>0</v>
      </c>
      <c r="BP81" s="241">
        <f t="shared" si="117"/>
        <v>1219909.5</v>
      </c>
      <c r="BQ81" s="241">
        <f t="shared" si="118"/>
        <v>0</v>
      </c>
      <c r="BR81" s="241">
        <f t="shared" si="119"/>
        <v>0</v>
      </c>
      <c r="BS81" s="241">
        <f t="shared" si="120"/>
        <v>0</v>
      </c>
      <c r="BT81" s="241">
        <f t="shared" si="122"/>
        <v>1219909.5</v>
      </c>
      <c r="BV81" s="241">
        <v>1249609.5</v>
      </c>
      <c r="BW81" s="286">
        <f t="shared" si="9"/>
        <v>-29700</v>
      </c>
    </row>
    <row r="82" spans="1:75" x14ac:dyDescent="0.25">
      <c r="A82" s="203"/>
      <c r="B82" s="246">
        <f>SUM(B68:B81)</f>
        <v>9074183</v>
      </c>
      <c r="C82" s="246">
        <f t="shared" ref="C82:G82" si="123">SUM(C68:C81)</f>
        <v>670563</v>
      </c>
      <c r="D82" s="246">
        <f t="shared" si="123"/>
        <v>257579.99999999997</v>
      </c>
      <c r="E82" s="246">
        <f t="shared" si="123"/>
        <v>0</v>
      </c>
      <c r="F82" s="246">
        <f t="shared" si="123"/>
        <v>95212</v>
      </c>
      <c r="G82" s="246">
        <f t="shared" si="123"/>
        <v>300000</v>
      </c>
      <c r="H82" s="246">
        <f>SUM(H68:H81)</f>
        <v>10397538</v>
      </c>
      <c r="J82" s="246">
        <f>SUM(J68:J81)</f>
        <v>24762296</v>
      </c>
      <c r="K82" s="246">
        <f t="shared" ref="K82:O82" si="124">SUM(K68:K81)</f>
        <v>1754995</v>
      </c>
      <c r="L82" s="246">
        <f t="shared" si="124"/>
        <v>508275</v>
      </c>
      <c r="M82" s="246">
        <f t="shared" si="124"/>
        <v>0</v>
      </c>
      <c r="N82" s="246">
        <f t="shared" si="124"/>
        <v>49770</v>
      </c>
      <c r="O82" s="246">
        <f t="shared" si="124"/>
        <v>1500000</v>
      </c>
      <c r="P82" s="246">
        <f>SUM(P68:P81)</f>
        <v>28575336</v>
      </c>
      <c r="R82" s="246">
        <f>SUM(R68:R81)</f>
        <v>10174893</v>
      </c>
      <c r="S82" s="246">
        <f t="shared" ref="S82:W82" si="125">SUM(S68:S81)</f>
        <v>494665</v>
      </c>
      <c r="T82" s="246">
        <f t="shared" si="125"/>
        <v>137727</v>
      </c>
      <c r="U82" s="246">
        <f t="shared" si="125"/>
        <v>0</v>
      </c>
      <c r="V82" s="246">
        <f t="shared" si="125"/>
        <v>0</v>
      </c>
      <c r="W82" s="246">
        <f t="shared" si="125"/>
        <v>850000</v>
      </c>
      <c r="X82" s="246">
        <f>SUM(X68:X81)</f>
        <v>11657285</v>
      </c>
      <c r="Z82" s="246">
        <f>SUM(Z68:Z81)</f>
        <v>11741440</v>
      </c>
      <c r="AA82" s="246">
        <f t="shared" ref="AA82:AE82" si="126">SUM(AA68:AA81)</f>
        <v>628002</v>
      </c>
      <c r="AB82" s="246">
        <f t="shared" si="126"/>
        <v>90928.799999999988</v>
      </c>
      <c r="AC82" s="246">
        <f t="shared" si="126"/>
        <v>0</v>
      </c>
      <c r="AD82" s="246">
        <f t="shared" si="126"/>
        <v>0</v>
      </c>
      <c r="AE82" s="246">
        <f t="shared" si="126"/>
        <v>900000</v>
      </c>
      <c r="AF82" s="246">
        <f>SUM(AF68:AF81)</f>
        <v>13360370.800000001</v>
      </c>
      <c r="AH82" s="246">
        <f>SUM(AH68:AH81)</f>
        <v>23961747</v>
      </c>
      <c r="AI82" s="246">
        <f t="shared" ref="AI82:AM82" si="127">SUM(AI68:AI81)</f>
        <v>1228346</v>
      </c>
      <c r="AJ82" s="246">
        <f t="shared" si="127"/>
        <v>234295.2</v>
      </c>
      <c r="AK82" s="246">
        <f t="shared" si="127"/>
        <v>0</v>
      </c>
      <c r="AL82" s="246">
        <f t="shared" si="127"/>
        <v>0</v>
      </c>
      <c r="AM82" s="246">
        <f t="shared" si="127"/>
        <v>2500000</v>
      </c>
      <c r="AN82" s="246">
        <f>SUM(AN68:AN81)</f>
        <v>27924388.199999999</v>
      </c>
      <c r="AP82" s="246">
        <f>SUM(AP68:AP81)</f>
        <v>3735342</v>
      </c>
      <c r="AQ82" s="246">
        <f t="shared" ref="AQ82:AU82" si="128">SUM(AQ68:AQ81)</f>
        <v>128190</v>
      </c>
      <c r="AR82" s="246">
        <f t="shared" si="128"/>
        <v>157115.70000000001</v>
      </c>
      <c r="AS82" s="246">
        <f t="shared" si="128"/>
        <v>0</v>
      </c>
      <c r="AT82" s="246">
        <f t="shared" si="128"/>
        <v>54920</v>
      </c>
      <c r="AU82" s="246">
        <f t="shared" si="128"/>
        <v>100000</v>
      </c>
      <c r="AV82" s="246">
        <f>SUM(AV68:AV81)</f>
        <v>4175567.7</v>
      </c>
      <c r="AX82" s="246">
        <f>SUM(AX68:AX81)</f>
        <v>1370424</v>
      </c>
      <c r="AY82" s="246">
        <f t="shared" ref="AY82:BC82" si="129">SUM(AY68:AY81)</f>
        <v>111613</v>
      </c>
      <c r="AZ82" s="246">
        <f t="shared" si="129"/>
        <v>0</v>
      </c>
      <c r="BA82" s="246">
        <f t="shared" si="129"/>
        <v>0</v>
      </c>
      <c r="BB82" s="246">
        <f t="shared" si="129"/>
        <v>23520</v>
      </c>
      <c r="BC82" s="246">
        <f t="shared" si="129"/>
        <v>25000</v>
      </c>
      <c r="BD82" s="246">
        <f>SUM(BD68:BD81)</f>
        <v>1530557</v>
      </c>
      <c r="BF82" s="246">
        <f>SUM(BF68:BF81)</f>
        <v>1299741</v>
      </c>
      <c r="BG82" s="246">
        <f t="shared" ref="BG82:BK82" si="130">SUM(BG68:BG81)</f>
        <v>0</v>
      </c>
      <c r="BH82" s="246">
        <f t="shared" si="130"/>
        <v>0</v>
      </c>
      <c r="BI82" s="246">
        <f t="shared" si="130"/>
        <v>0</v>
      </c>
      <c r="BJ82" s="246">
        <f t="shared" si="130"/>
        <v>747427</v>
      </c>
      <c r="BK82" s="246">
        <f t="shared" si="130"/>
        <v>0</v>
      </c>
      <c r="BL82" s="246">
        <f>SUM(BL68:BL81)</f>
        <v>2047168</v>
      </c>
      <c r="BN82" s="246">
        <f>SUM(BN68:BN81)</f>
        <v>86120066</v>
      </c>
      <c r="BO82" s="246">
        <f t="shared" ref="BO82:BS82" si="131">SUM(BO68:BO81)</f>
        <v>5016374</v>
      </c>
      <c r="BP82" s="246">
        <f t="shared" si="131"/>
        <v>1385921.7</v>
      </c>
      <c r="BQ82" s="246">
        <f t="shared" si="131"/>
        <v>0</v>
      </c>
      <c r="BR82" s="246">
        <f t="shared" si="131"/>
        <v>970849</v>
      </c>
      <c r="BS82" s="246">
        <f t="shared" si="131"/>
        <v>6175000</v>
      </c>
      <c r="BT82" s="246">
        <f>SUM(BT68:BT81)</f>
        <v>99668210.700000003</v>
      </c>
      <c r="BV82" s="246">
        <v>98101684.700000003</v>
      </c>
      <c r="BW82" s="286">
        <f t="shared" si="9"/>
        <v>1566526</v>
      </c>
    </row>
    <row r="83" spans="1:75" x14ac:dyDescent="0.25">
      <c r="BW83" s="286">
        <f t="shared" si="9"/>
        <v>0</v>
      </c>
    </row>
    <row r="84" spans="1:75" x14ac:dyDescent="0.25">
      <c r="A84" s="204"/>
      <c r="B84" s="247" t="s">
        <v>309</v>
      </c>
      <c r="C84" s="247" t="s">
        <v>310</v>
      </c>
      <c r="D84" s="247" t="s">
        <v>311</v>
      </c>
      <c r="E84" s="248" t="str">
        <f>E67</f>
        <v>Other</v>
      </c>
      <c r="F84" s="247" t="s">
        <v>313</v>
      </c>
      <c r="G84" s="247" t="s">
        <v>314</v>
      </c>
      <c r="H84" s="247" t="s">
        <v>321</v>
      </c>
      <c r="J84" s="247" t="s">
        <v>309</v>
      </c>
      <c r="K84" s="247" t="s">
        <v>310</v>
      </c>
      <c r="L84" s="247" t="s">
        <v>311</v>
      </c>
      <c r="M84" s="248" t="str">
        <f>M67</f>
        <v>Other</v>
      </c>
      <c r="N84" s="247" t="s">
        <v>313</v>
      </c>
      <c r="O84" s="247" t="s">
        <v>314</v>
      </c>
      <c r="P84" s="248" t="str">
        <f>P67</f>
        <v>Cadence</v>
      </c>
      <c r="R84" s="247" t="s">
        <v>309</v>
      </c>
      <c r="S84" s="247" t="s">
        <v>310</v>
      </c>
      <c r="T84" s="247" t="s">
        <v>311</v>
      </c>
      <c r="U84" s="248" t="str">
        <f>U67</f>
        <v>Other</v>
      </c>
      <c r="V84" s="247" t="s">
        <v>313</v>
      </c>
      <c r="W84" s="247" t="s">
        <v>314</v>
      </c>
      <c r="X84" s="248" t="str">
        <f>X67</f>
        <v>St. Rose</v>
      </c>
      <c r="Z84" s="247" t="s">
        <v>309</v>
      </c>
      <c r="AA84" s="247" t="s">
        <v>310</v>
      </c>
      <c r="AB84" s="247" t="s">
        <v>311</v>
      </c>
      <c r="AC84" s="248" t="str">
        <f>AC67</f>
        <v>Other</v>
      </c>
      <c r="AD84" s="247" t="s">
        <v>313</v>
      </c>
      <c r="AE84" s="247" t="s">
        <v>314</v>
      </c>
      <c r="AF84" s="248" t="str">
        <f>AF67</f>
        <v>Inspirada</v>
      </c>
      <c r="AH84" s="247" t="s">
        <v>309</v>
      </c>
      <c r="AI84" s="247" t="s">
        <v>310</v>
      </c>
      <c r="AJ84" s="247" t="s">
        <v>311</v>
      </c>
      <c r="AK84" s="248" t="str">
        <f>AK67</f>
        <v>Other</v>
      </c>
      <c r="AL84" s="247" t="s">
        <v>313</v>
      </c>
      <c r="AM84" s="247" t="s">
        <v>314</v>
      </c>
      <c r="AN84" s="248" t="str">
        <f>AN67</f>
        <v>Sloan</v>
      </c>
      <c r="AP84" s="247" t="s">
        <v>309</v>
      </c>
      <c r="AQ84" s="247" t="s">
        <v>310</v>
      </c>
      <c r="AR84" s="247" t="s">
        <v>311</v>
      </c>
      <c r="AS84" s="248" t="str">
        <f>AS67</f>
        <v>Other</v>
      </c>
      <c r="AT84" s="247" t="s">
        <v>313</v>
      </c>
      <c r="AU84" s="247" t="s">
        <v>314</v>
      </c>
      <c r="AV84" s="248" t="str">
        <f>AV67</f>
        <v>Springs</v>
      </c>
      <c r="AX84" s="247" t="s">
        <v>309</v>
      </c>
      <c r="AY84" s="247" t="s">
        <v>310</v>
      </c>
      <c r="AZ84" s="247" t="s">
        <v>311</v>
      </c>
      <c r="BA84" s="248" t="str">
        <f>BA67</f>
        <v>Other</v>
      </c>
      <c r="BB84" s="247" t="s">
        <v>313</v>
      </c>
      <c r="BC84" s="247" t="s">
        <v>314</v>
      </c>
      <c r="BD84" s="248" t="str">
        <f>BD67</f>
        <v>Virtual</v>
      </c>
      <c r="BF84" s="247" t="s">
        <v>309</v>
      </c>
      <c r="BG84" s="247" t="s">
        <v>310</v>
      </c>
      <c r="BH84" s="247" t="s">
        <v>311</v>
      </c>
      <c r="BI84" s="248" t="str">
        <f>BI67</f>
        <v>Other</v>
      </c>
      <c r="BJ84" s="247" t="s">
        <v>313</v>
      </c>
      <c r="BK84" s="247" t="s">
        <v>314</v>
      </c>
      <c r="BL84" s="248" t="str">
        <f>BL67</f>
        <v>Central</v>
      </c>
      <c r="BN84" s="247" t="s">
        <v>309</v>
      </c>
      <c r="BO84" s="247" t="s">
        <v>310</v>
      </c>
      <c r="BP84" s="247" t="s">
        <v>311</v>
      </c>
      <c r="BQ84" s="248" t="str">
        <f>BQ67</f>
        <v>Other</v>
      </c>
      <c r="BR84" s="247" t="s">
        <v>313</v>
      </c>
      <c r="BS84" s="247" t="s">
        <v>314</v>
      </c>
      <c r="BT84" s="248" t="str">
        <f>BT67</f>
        <v>System</v>
      </c>
      <c r="BV84" s="247" t="s">
        <v>321</v>
      </c>
      <c r="BW84" s="286" t="e">
        <f t="shared" si="9"/>
        <v>#VALUE!</v>
      </c>
    </row>
    <row r="85" spans="1:75" x14ac:dyDescent="0.25">
      <c r="A85" s="200" t="s">
        <v>229</v>
      </c>
      <c r="B85" s="249"/>
      <c r="C85" s="249"/>
      <c r="D85" s="249"/>
      <c r="E85" s="249">
        <v>26500</v>
      </c>
      <c r="F85" s="249"/>
      <c r="G85" s="249"/>
      <c r="H85" s="241">
        <f>SUM(B85:G85)</f>
        <v>26500</v>
      </c>
      <c r="J85" s="249"/>
      <c r="K85" s="249"/>
      <c r="L85" s="249"/>
      <c r="M85" s="257">
        <v>80000</v>
      </c>
      <c r="N85" s="249"/>
      <c r="O85" s="249"/>
      <c r="P85" s="241">
        <f>SUM(J85:O85)</f>
        <v>80000</v>
      </c>
      <c r="R85" s="249"/>
      <c r="S85" s="249"/>
      <c r="T85" s="249"/>
      <c r="U85" s="257">
        <f>300000+30000</f>
        <v>330000</v>
      </c>
      <c r="V85" s="249"/>
      <c r="W85" s="249"/>
      <c r="X85" s="241">
        <f>SUM(R85:W85)</f>
        <v>330000</v>
      </c>
      <c r="Z85" s="249"/>
      <c r="AA85" s="249"/>
      <c r="AB85" s="249"/>
      <c r="AC85" s="257">
        <f>410000+40000</f>
        <v>450000</v>
      </c>
      <c r="AD85" s="249"/>
      <c r="AE85" s="249"/>
      <c r="AF85" s="241">
        <f>SUM(Z85:AE85)</f>
        <v>450000</v>
      </c>
      <c r="AH85" s="249"/>
      <c r="AI85" s="249"/>
      <c r="AJ85" s="249"/>
      <c r="AK85" s="257">
        <f>1000000+100000</f>
        <v>1100000</v>
      </c>
      <c r="AL85" s="249"/>
      <c r="AM85" s="249"/>
      <c r="AN85" s="241">
        <f>SUM(AH85:AM85)</f>
        <v>1100000</v>
      </c>
      <c r="AP85" s="249"/>
      <c r="AQ85" s="249"/>
      <c r="AR85" s="249"/>
      <c r="AS85" s="257">
        <v>15500</v>
      </c>
      <c r="AT85" s="249"/>
      <c r="AU85" s="249"/>
      <c r="AV85" s="241">
        <f>SUM(AP85:AU85)</f>
        <v>15500</v>
      </c>
      <c r="AX85" s="249"/>
      <c r="AY85" s="249"/>
      <c r="AZ85" s="249"/>
      <c r="BA85" s="249"/>
      <c r="BB85" s="249"/>
      <c r="BC85" s="249"/>
      <c r="BD85" s="241">
        <f>SUM(AX85:BC85)</f>
        <v>0</v>
      </c>
      <c r="BF85" s="257"/>
      <c r="BG85" s="257"/>
      <c r="BH85" s="257"/>
      <c r="BI85" s="257">
        <v>0</v>
      </c>
      <c r="BJ85" s="257"/>
      <c r="BK85" s="257"/>
      <c r="BL85" s="241">
        <f>SUM(BF85:BK85)</f>
        <v>0</v>
      </c>
      <c r="BN85" s="241">
        <f>B85+J85+R85+Z85+AH85+AP85+AX85+BF85</f>
        <v>0</v>
      </c>
      <c r="BO85" s="241">
        <f t="shared" ref="BO85:BS85" si="132">C85+K85+S85+AA85+AI85+AQ85+AY85+BG85</f>
        <v>0</v>
      </c>
      <c r="BP85" s="241">
        <f t="shared" si="132"/>
        <v>0</v>
      </c>
      <c r="BQ85" s="241">
        <f t="shared" si="132"/>
        <v>2002000</v>
      </c>
      <c r="BR85" s="241">
        <f t="shared" si="132"/>
        <v>0</v>
      </c>
      <c r="BS85" s="241">
        <f t="shared" si="132"/>
        <v>0</v>
      </c>
      <c r="BT85" s="241">
        <f>SUM(BN85:BS85)</f>
        <v>2002000</v>
      </c>
      <c r="BV85" s="241">
        <v>2002000</v>
      </c>
      <c r="BW85" s="286">
        <f t="shared" si="9"/>
        <v>0</v>
      </c>
    </row>
    <row r="86" spans="1:75" x14ac:dyDescent="0.25">
      <c r="A86" s="201" t="s">
        <v>230</v>
      </c>
      <c r="B86" s="250"/>
      <c r="C86" s="250"/>
      <c r="D86" s="250"/>
      <c r="E86" s="250"/>
      <c r="F86" s="250"/>
      <c r="G86" s="250"/>
      <c r="H86" s="241">
        <f t="shared" ref="H86:H87" si="133">SUM(B86:G86)</f>
        <v>0</v>
      </c>
      <c r="J86" s="250"/>
      <c r="K86" s="250"/>
      <c r="L86" s="250"/>
      <c r="M86" s="250"/>
      <c r="N86" s="250"/>
      <c r="O86" s="250"/>
      <c r="P86" s="241">
        <f t="shared" ref="P86:P87" si="134">SUM(J86:O86)</f>
        <v>0</v>
      </c>
      <c r="R86" s="250"/>
      <c r="S86" s="250"/>
      <c r="T86" s="250"/>
      <c r="U86" s="250"/>
      <c r="V86" s="250"/>
      <c r="W86" s="250"/>
      <c r="X86" s="241">
        <f t="shared" ref="X86:X87" si="135">SUM(R86:W86)</f>
        <v>0</v>
      </c>
      <c r="Z86" s="250"/>
      <c r="AA86" s="250"/>
      <c r="AB86" s="250"/>
      <c r="AC86" s="250"/>
      <c r="AD86" s="250"/>
      <c r="AE86" s="250"/>
      <c r="AF86" s="241">
        <f t="shared" ref="AF86:AF87" si="136">SUM(Z86:AE86)</f>
        <v>0</v>
      </c>
      <c r="AH86" s="250"/>
      <c r="AI86" s="250"/>
      <c r="AJ86" s="250"/>
      <c r="AK86" s="250"/>
      <c r="AL86" s="250"/>
      <c r="AM86" s="250"/>
      <c r="AN86" s="241">
        <f t="shared" ref="AN86:AN87" si="137">SUM(AH86:AM86)</f>
        <v>0</v>
      </c>
      <c r="AP86" s="250"/>
      <c r="AQ86" s="250"/>
      <c r="AR86" s="250"/>
      <c r="AS86" s="244"/>
      <c r="AT86" s="250"/>
      <c r="AU86" s="250"/>
      <c r="AV86" s="241">
        <f t="shared" ref="AV86:AV87" si="138">SUM(AP86:AU86)</f>
        <v>0</v>
      </c>
      <c r="AX86" s="250"/>
      <c r="AY86" s="250"/>
      <c r="AZ86" s="250"/>
      <c r="BA86" s="250"/>
      <c r="BB86" s="250"/>
      <c r="BC86" s="250"/>
      <c r="BD86" s="241">
        <f t="shared" ref="BD86:BD87" si="139">SUM(AX86:BC86)</f>
        <v>0</v>
      </c>
      <c r="BF86" s="244"/>
      <c r="BG86" s="244"/>
      <c r="BH86" s="244"/>
      <c r="BI86" s="244"/>
      <c r="BJ86" s="244"/>
      <c r="BK86" s="244"/>
      <c r="BL86" s="241">
        <f t="shared" ref="BL86:BL87" si="140">SUM(BF86:BK86)</f>
        <v>0</v>
      </c>
      <c r="BN86" s="241">
        <f t="shared" ref="BN86:BN87" si="141">B86+J86+R86+Z86+AH86+AP86+AX86+BF86</f>
        <v>0</v>
      </c>
      <c r="BO86" s="241">
        <f t="shared" ref="BO86:BO87" si="142">C86+K86+S86+AA86+AI86+AQ86+AY86+BG86</f>
        <v>0</v>
      </c>
      <c r="BP86" s="241">
        <f t="shared" ref="BP86:BP87" si="143">D86+L86+T86+AB86+AJ86+AR86+AZ86+BH86</f>
        <v>0</v>
      </c>
      <c r="BQ86" s="241">
        <f t="shared" ref="BQ86:BQ87" si="144">E86+M86+U86+AC86+AK86+AS86+BA86+BI86</f>
        <v>0</v>
      </c>
      <c r="BR86" s="241">
        <f t="shared" ref="BR86:BR87" si="145">F86+N86+V86+AD86+AL86+AT86+BB86+BJ86</f>
        <v>0</v>
      </c>
      <c r="BS86" s="241">
        <f t="shared" ref="BS86:BS87" si="146">G86+O86+W86+AE86+AM86+AU86+BC86+BK86</f>
        <v>0</v>
      </c>
      <c r="BT86" s="241">
        <f t="shared" ref="BT86:BT87" si="147">SUM(BN86:BS86)</f>
        <v>0</v>
      </c>
      <c r="BV86" s="241">
        <v>0</v>
      </c>
      <c r="BW86" s="286">
        <f t="shared" ref="BW86:BW149" si="148">BT86-BV86</f>
        <v>0</v>
      </c>
    </row>
    <row r="87" spans="1:75" x14ac:dyDescent="0.25">
      <c r="A87" s="202" t="s">
        <v>231</v>
      </c>
      <c r="B87" s="251"/>
      <c r="C87" s="251"/>
      <c r="D87" s="251"/>
      <c r="E87" s="251"/>
      <c r="F87" s="251"/>
      <c r="G87" s="251"/>
      <c r="H87" s="241">
        <f t="shared" si="133"/>
        <v>0</v>
      </c>
      <c r="J87" s="251"/>
      <c r="K87" s="251"/>
      <c r="L87" s="251"/>
      <c r="M87" s="251"/>
      <c r="N87" s="251"/>
      <c r="O87" s="251"/>
      <c r="P87" s="241">
        <f t="shared" si="134"/>
        <v>0</v>
      </c>
      <c r="R87" s="251"/>
      <c r="S87" s="251"/>
      <c r="T87" s="251"/>
      <c r="U87" s="251"/>
      <c r="V87" s="251"/>
      <c r="W87" s="251"/>
      <c r="X87" s="241">
        <f t="shared" si="135"/>
        <v>0</v>
      </c>
      <c r="Z87" s="251"/>
      <c r="AA87" s="251"/>
      <c r="AB87" s="251"/>
      <c r="AC87" s="251"/>
      <c r="AD87" s="251"/>
      <c r="AE87" s="251"/>
      <c r="AF87" s="241">
        <f t="shared" si="136"/>
        <v>0</v>
      </c>
      <c r="AH87" s="251"/>
      <c r="AI87" s="251"/>
      <c r="AJ87" s="251"/>
      <c r="AK87" s="251"/>
      <c r="AL87" s="251"/>
      <c r="AM87" s="251"/>
      <c r="AN87" s="241">
        <f t="shared" si="137"/>
        <v>0</v>
      </c>
      <c r="AP87" s="251"/>
      <c r="AQ87" s="251"/>
      <c r="AR87" s="251"/>
      <c r="AS87" s="245"/>
      <c r="AT87" s="251"/>
      <c r="AU87" s="251"/>
      <c r="AV87" s="241">
        <f t="shared" si="138"/>
        <v>0</v>
      </c>
      <c r="AX87" s="251"/>
      <c r="AY87" s="251"/>
      <c r="AZ87" s="251"/>
      <c r="BA87" s="251"/>
      <c r="BB87" s="251"/>
      <c r="BC87" s="251"/>
      <c r="BD87" s="241">
        <f t="shared" si="139"/>
        <v>0</v>
      </c>
      <c r="BF87" s="245"/>
      <c r="BG87" s="245"/>
      <c r="BH87" s="245"/>
      <c r="BI87" s="245"/>
      <c r="BJ87" s="245"/>
      <c r="BK87" s="245"/>
      <c r="BL87" s="241">
        <f t="shared" si="140"/>
        <v>0</v>
      </c>
      <c r="BN87" s="241">
        <f t="shared" si="141"/>
        <v>0</v>
      </c>
      <c r="BO87" s="241">
        <f t="shared" si="142"/>
        <v>0</v>
      </c>
      <c r="BP87" s="241">
        <f t="shared" si="143"/>
        <v>0</v>
      </c>
      <c r="BQ87" s="241">
        <f t="shared" si="144"/>
        <v>0</v>
      </c>
      <c r="BR87" s="241">
        <f t="shared" si="145"/>
        <v>0</v>
      </c>
      <c r="BS87" s="241">
        <f t="shared" si="146"/>
        <v>0</v>
      </c>
      <c r="BT87" s="241">
        <f t="shared" si="147"/>
        <v>0</v>
      </c>
      <c r="BV87" s="241">
        <v>0</v>
      </c>
      <c r="BW87" s="286">
        <f t="shared" si="148"/>
        <v>0</v>
      </c>
    </row>
    <row r="88" spans="1:75" x14ac:dyDescent="0.25">
      <c r="A88" s="204"/>
      <c r="B88" s="252">
        <f>SUM(B85:B87)</f>
        <v>0</v>
      </c>
      <c r="C88" s="252">
        <f t="shared" ref="C88:G88" si="149">SUM(C85:C87)</f>
        <v>0</v>
      </c>
      <c r="D88" s="252">
        <f t="shared" si="149"/>
        <v>0</v>
      </c>
      <c r="E88" s="252">
        <f t="shared" si="149"/>
        <v>26500</v>
      </c>
      <c r="F88" s="252">
        <f t="shared" si="149"/>
        <v>0</v>
      </c>
      <c r="G88" s="252">
        <f t="shared" si="149"/>
        <v>0</v>
      </c>
      <c r="H88" s="252">
        <f>SUM(H85:H87)</f>
        <v>26500</v>
      </c>
      <c r="J88" s="252">
        <f>SUM(J85:J87)</f>
        <v>0</v>
      </c>
      <c r="K88" s="252">
        <f t="shared" ref="K88:O88" si="150">SUM(K85:K87)</f>
        <v>0</v>
      </c>
      <c r="L88" s="252">
        <f t="shared" si="150"/>
        <v>0</v>
      </c>
      <c r="M88" s="272">
        <f t="shared" si="150"/>
        <v>80000</v>
      </c>
      <c r="N88" s="252">
        <f t="shared" si="150"/>
        <v>0</v>
      </c>
      <c r="O88" s="252">
        <f t="shared" si="150"/>
        <v>0</v>
      </c>
      <c r="P88" s="272">
        <f>SUM(P85:P87)</f>
        <v>80000</v>
      </c>
      <c r="R88" s="252">
        <f>SUM(R85:R87)</f>
        <v>0</v>
      </c>
      <c r="S88" s="252">
        <f t="shared" ref="S88:W88" si="151">SUM(S85:S87)</f>
        <v>0</v>
      </c>
      <c r="T88" s="252">
        <f t="shared" si="151"/>
        <v>0</v>
      </c>
      <c r="U88" s="272">
        <f t="shared" si="151"/>
        <v>330000</v>
      </c>
      <c r="V88" s="272">
        <f t="shared" si="151"/>
        <v>0</v>
      </c>
      <c r="W88" s="272">
        <f t="shared" si="151"/>
        <v>0</v>
      </c>
      <c r="X88" s="272">
        <f>SUM(X85:X87)</f>
        <v>330000</v>
      </c>
      <c r="Z88" s="252">
        <f>SUM(Z85:Z87)</f>
        <v>0</v>
      </c>
      <c r="AA88" s="252">
        <f t="shared" ref="AA88:AE88" si="152">SUM(AA85:AA87)</f>
        <v>0</v>
      </c>
      <c r="AB88" s="252">
        <f t="shared" si="152"/>
        <v>0</v>
      </c>
      <c r="AC88" s="272">
        <f t="shared" si="152"/>
        <v>450000</v>
      </c>
      <c r="AD88" s="252">
        <f t="shared" si="152"/>
        <v>0</v>
      </c>
      <c r="AE88" s="252">
        <f t="shared" si="152"/>
        <v>0</v>
      </c>
      <c r="AF88" s="252">
        <f>SUM(AF85:AF87)</f>
        <v>450000</v>
      </c>
      <c r="AH88" s="252">
        <f>SUM(AH85:AH87)</f>
        <v>0</v>
      </c>
      <c r="AI88" s="252">
        <f t="shared" ref="AI88:AM88" si="153">SUM(AI85:AI87)</f>
        <v>0</v>
      </c>
      <c r="AJ88" s="252">
        <f t="shared" si="153"/>
        <v>0</v>
      </c>
      <c r="AK88" s="252">
        <f t="shared" si="153"/>
        <v>1100000</v>
      </c>
      <c r="AL88" s="252">
        <f t="shared" si="153"/>
        <v>0</v>
      </c>
      <c r="AM88" s="252">
        <f t="shared" si="153"/>
        <v>0</v>
      </c>
      <c r="AN88" s="252">
        <f>SUM(AN85:AN87)</f>
        <v>1100000</v>
      </c>
      <c r="AP88" s="252">
        <f>SUM(AP85:AP87)</f>
        <v>0</v>
      </c>
      <c r="AQ88" s="252">
        <f t="shared" ref="AQ88:AU88" si="154">SUM(AQ85:AQ87)</f>
        <v>0</v>
      </c>
      <c r="AR88" s="252">
        <f t="shared" si="154"/>
        <v>0</v>
      </c>
      <c r="AS88" s="272">
        <f t="shared" si="154"/>
        <v>15500</v>
      </c>
      <c r="AT88" s="252">
        <f t="shared" si="154"/>
        <v>0</v>
      </c>
      <c r="AU88" s="252">
        <f t="shared" si="154"/>
        <v>0</v>
      </c>
      <c r="AV88" s="252">
        <f>SUM(AV85:AV87)</f>
        <v>15500</v>
      </c>
      <c r="AX88" s="252">
        <f>SUM(AX85:AX87)</f>
        <v>0</v>
      </c>
      <c r="AY88" s="252">
        <f t="shared" ref="AY88:BC88" si="155">SUM(AY85:AY87)</f>
        <v>0</v>
      </c>
      <c r="AZ88" s="252">
        <f t="shared" si="155"/>
        <v>0</v>
      </c>
      <c r="BA88" s="252">
        <f t="shared" si="155"/>
        <v>0</v>
      </c>
      <c r="BB88" s="252">
        <f t="shared" si="155"/>
        <v>0</v>
      </c>
      <c r="BC88" s="252">
        <f t="shared" si="155"/>
        <v>0</v>
      </c>
      <c r="BD88" s="252">
        <f>SUM(BD85:BD87)</f>
        <v>0</v>
      </c>
      <c r="BF88" s="272">
        <f>SUM(BF85:BF87)</f>
        <v>0</v>
      </c>
      <c r="BG88" s="272">
        <f t="shared" ref="BG88:BK88" si="156">SUM(BG85:BG87)</f>
        <v>0</v>
      </c>
      <c r="BH88" s="272">
        <f t="shared" si="156"/>
        <v>0</v>
      </c>
      <c r="BI88" s="272">
        <f t="shared" si="156"/>
        <v>0</v>
      </c>
      <c r="BJ88" s="272">
        <f t="shared" si="156"/>
        <v>0</v>
      </c>
      <c r="BK88" s="272">
        <f t="shared" si="156"/>
        <v>0</v>
      </c>
      <c r="BL88" s="252">
        <f>SUM(BL85:BL87)</f>
        <v>0</v>
      </c>
      <c r="BN88" s="272">
        <f>SUM(BN85:BN87)</f>
        <v>0</v>
      </c>
      <c r="BO88" s="272">
        <f t="shared" ref="BO88:BS88" si="157">SUM(BO85:BO87)</f>
        <v>0</v>
      </c>
      <c r="BP88" s="272">
        <f t="shared" si="157"/>
        <v>0</v>
      </c>
      <c r="BQ88" s="272">
        <f t="shared" si="157"/>
        <v>2002000</v>
      </c>
      <c r="BR88" s="272">
        <f t="shared" si="157"/>
        <v>0</v>
      </c>
      <c r="BS88" s="272">
        <f t="shared" si="157"/>
        <v>0</v>
      </c>
      <c r="BT88" s="252">
        <f>SUM(BT85:BT87)</f>
        <v>2002000</v>
      </c>
      <c r="BV88" s="252">
        <v>2002000</v>
      </c>
      <c r="BW88" s="286">
        <f t="shared" si="148"/>
        <v>0</v>
      </c>
    </row>
    <row r="89" spans="1:75" x14ac:dyDescent="0.25">
      <c r="AS89" s="259"/>
      <c r="BW89" s="286">
        <f t="shared" si="148"/>
        <v>0</v>
      </c>
    </row>
    <row r="90" spans="1:75" ht="16.5" thickBot="1" x14ac:dyDescent="0.3">
      <c r="BW90" s="286">
        <f t="shared" si="148"/>
        <v>0</v>
      </c>
    </row>
    <row r="91" spans="1:75" x14ac:dyDescent="0.25">
      <c r="A91" s="205" t="s">
        <v>328</v>
      </c>
      <c r="B91" s="253" t="s">
        <v>309</v>
      </c>
      <c r="C91" s="253" t="s">
        <v>310</v>
      </c>
      <c r="D91" s="253" t="s">
        <v>311</v>
      </c>
      <c r="E91" s="254" t="str">
        <f>E84</f>
        <v>Other</v>
      </c>
      <c r="F91" s="253" t="s">
        <v>313</v>
      </c>
      <c r="G91" s="253" t="s">
        <v>314</v>
      </c>
      <c r="H91" s="255" t="s">
        <v>320</v>
      </c>
      <c r="J91" s="253" t="s">
        <v>309</v>
      </c>
      <c r="K91" s="253" t="s">
        <v>310</v>
      </c>
      <c r="L91" s="253" t="s">
        <v>311</v>
      </c>
      <c r="M91" s="254" t="str">
        <f>M84</f>
        <v>Other</v>
      </c>
      <c r="N91" s="253" t="s">
        <v>313</v>
      </c>
      <c r="O91" s="253" t="s">
        <v>314</v>
      </c>
      <c r="P91" s="275" t="str">
        <f>P84</f>
        <v>Cadence</v>
      </c>
      <c r="R91" s="253" t="s">
        <v>309</v>
      </c>
      <c r="S91" s="253" t="s">
        <v>310</v>
      </c>
      <c r="T91" s="253" t="s">
        <v>311</v>
      </c>
      <c r="U91" s="254" t="str">
        <f>U84</f>
        <v>Other</v>
      </c>
      <c r="V91" s="253" t="s">
        <v>313</v>
      </c>
      <c r="W91" s="253" t="s">
        <v>314</v>
      </c>
      <c r="X91" s="275" t="str">
        <f>X84</f>
        <v>St. Rose</v>
      </c>
      <c r="Z91" s="253" t="s">
        <v>309</v>
      </c>
      <c r="AA91" s="253" t="s">
        <v>310</v>
      </c>
      <c r="AB91" s="253" t="s">
        <v>311</v>
      </c>
      <c r="AC91" s="254" t="str">
        <f>AC84</f>
        <v>Other</v>
      </c>
      <c r="AD91" s="253" t="s">
        <v>313</v>
      </c>
      <c r="AE91" s="253" t="s">
        <v>314</v>
      </c>
      <c r="AF91" s="275" t="str">
        <f>AF84</f>
        <v>Inspirada</v>
      </c>
      <c r="AH91" s="253" t="s">
        <v>309</v>
      </c>
      <c r="AI91" s="253" t="s">
        <v>310</v>
      </c>
      <c r="AJ91" s="253" t="s">
        <v>311</v>
      </c>
      <c r="AK91" s="254" t="str">
        <f>AK84</f>
        <v>Other</v>
      </c>
      <c r="AL91" s="253" t="s">
        <v>313</v>
      </c>
      <c r="AM91" s="253" t="s">
        <v>314</v>
      </c>
      <c r="AN91" s="275" t="str">
        <f>AN84</f>
        <v>Sloan</v>
      </c>
      <c r="AP91" s="253" t="s">
        <v>309</v>
      </c>
      <c r="AQ91" s="253" t="s">
        <v>310</v>
      </c>
      <c r="AR91" s="253" t="s">
        <v>311</v>
      </c>
      <c r="AS91" s="254" t="str">
        <f>AS84</f>
        <v>Other</v>
      </c>
      <c r="AT91" s="253" t="s">
        <v>313</v>
      </c>
      <c r="AU91" s="253" t="s">
        <v>314</v>
      </c>
      <c r="AV91" s="275" t="str">
        <f>AV84</f>
        <v>Springs</v>
      </c>
      <c r="AX91" s="253" t="s">
        <v>309</v>
      </c>
      <c r="AY91" s="253" t="s">
        <v>310</v>
      </c>
      <c r="AZ91" s="253" t="s">
        <v>311</v>
      </c>
      <c r="BA91" s="254" t="str">
        <f>BA84</f>
        <v>Other</v>
      </c>
      <c r="BB91" s="253" t="s">
        <v>313</v>
      </c>
      <c r="BC91" s="253" t="s">
        <v>314</v>
      </c>
      <c r="BD91" s="275" t="str">
        <f>BD84</f>
        <v>Virtual</v>
      </c>
      <c r="BF91" s="253" t="s">
        <v>309</v>
      </c>
      <c r="BG91" s="253" t="s">
        <v>310</v>
      </c>
      <c r="BH91" s="253" t="s">
        <v>311</v>
      </c>
      <c r="BI91" s="254" t="str">
        <f>BI84</f>
        <v>Other</v>
      </c>
      <c r="BJ91" s="253" t="s">
        <v>313</v>
      </c>
      <c r="BK91" s="253" t="s">
        <v>314</v>
      </c>
      <c r="BL91" s="275" t="str">
        <f>BL84</f>
        <v>Central</v>
      </c>
      <c r="BN91" s="253" t="s">
        <v>309</v>
      </c>
      <c r="BO91" s="253" t="s">
        <v>310</v>
      </c>
      <c r="BP91" s="253" t="s">
        <v>311</v>
      </c>
      <c r="BQ91" s="254" t="str">
        <f>BQ84</f>
        <v>Other</v>
      </c>
      <c r="BR91" s="253" t="s">
        <v>313</v>
      </c>
      <c r="BS91" s="253" t="s">
        <v>314</v>
      </c>
      <c r="BT91" s="275" t="str">
        <f>BT84</f>
        <v>System</v>
      </c>
      <c r="BV91" s="255" t="s">
        <v>320</v>
      </c>
      <c r="BW91" s="286" t="e">
        <f t="shared" si="148"/>
        <v>#VALUE!</v>
      </c>
    </row>
    <row r="92" spans="1:75" x14ac:dyDescent="0.25">
      <c r="A92" s="206" t="s">
        <v>327</v>
      </c>
      <c r="B92" s="256"/>
      <c r="C92" s="256"/>
      <c r="D92" s="256"/>
      <c r="E92" s="256"/>
      <c r="F92" s="256"/>
      <c r="G92" s="256"/>
      <c r="H92" s="256"/>
      <c r="J92" s="256"/>
      <c r="K92" s="256"/>
      <c r="L92" s="256"/>
      <c r="M92" s="256"/>
      <c r="N92" s="256"/>
      <c r="O92" s="256"/>
      <c r="P92" s="256"/>
      <c r="R92" s="256"/>
      <c r="S92" s="256"/>
      <c r="T92" s="256"/>
      <c r="U92" s="256"/>
      <c r="V92" s="256"/>
      <c r="W92" s="256"/>
      <c r="X92" s="256"/>
      <c r="Z92" s="256"/>
      <c r="AA92" s="256"/>
      <c r="AB92" s="256"/>
      <c r="AC92" s="256"/>
      <c r="AD92" s="256"/>
      <c r="AE92" s="256"/>
      <c r="AF92" s="256"/>
      <c r="AH92" s="256"/>
      <c r="AI92" s="256"/>
      <c r="AJ92" s="256"/>
      <c r="AK92" s="256"/>
      <c r="AL92" s="256"/>
      <c r="AM92" s="256"/>
      <c r="AN92" s="256"/>
      <c r="AP92" s="256"/>
      <c r="AQ92" s="256"/>
      <c r="AR92" s="256"/>
      <c r="AS92" s="256"/>
      <c r="AT92" s="256"/>
      <c r="AU92" s="256"/>
      <c r="AV92" s="256"/>
      <c r="AX92" s="256"/>
      <c r="AY92" s="256"/>
      <c r="AZ92" s="256"/>
      <c r="BA92" s="256"/>
      <c r="BB92" s="256"/>
      <c r="BC92" s="256"/>
      <c r="BD92" s="256"/>
      <c r="BF92" s="256"/>
      <c r="BG92" s="256"/>
      <c r="BH92" s="256"/>
      <c r="BI92" s="256"/>
      <c r="BJ92" s="256"/>
      <c r="BK92" s="256"/>
      <c r="BL92" s="256"/>
      <c r="BN92" s="256"/>
      <c r="BO92" s="256"/>
      <c r="BP92" s="256"/>
      <c r="BQ92" s="256"/>
      <c r="BR92" s="256"/>
      <c r="BS92" s="256"/>
      <c r="BT92" s="256"/>
      <c r="BV92" s="256"/>
      <c r="BW92" s="286">
        <f t="shared" si="148"/>
        <v>0</v>
      </c>
    </row>
    <row r="93" spans="1:75" x14ac:dyDescent="0.25">
      <c r="A93" s="200" t="s">
        <v>53</v>
      </c>
      <c r="B93" s="241">
        <f>163728*1.03</f>
        <v>168639.84</v>
      </c>
      <c r="C93" s="257"/>
      <c r="D93" s="257"/>
      <c r="E93" s="257"/>
      <c r="F93" s="257"/>
      <c r="G93" s="257"/>
      <c r="H93" s="241">
        <f>SUM(B93:G93)</f>
        <v>168639.84</v>
      </c>
      <c r="J93" s="257">
        <f>170130*1.03</f>
        <v>175233.9</v>
      </c>
      <c r="K93" s="257"/>
      <c r="L93" s="257"/>
      <c r="M93" s="257"/>
      <c r="N93" s="257"/>
      <c r="O93" s="257"/>
      <c r="P93" s="241">
        <f>SUM(J93:O93)</f>
        <v>175233.9</v>
      </c>
      <c r="R93" s="257">
        <f>159474*1.03</f>
        <v>164258.22</v>
      </c>
      <c r="S93" s="257"/>
      <c r="T93" s="257"/>
      <c r="U93" s="257"/>
      <c r="V93" s="257"/>
      <c r="W93" s="257"/>
      <c r="X93" s="241">
        <f>SUM(R93:W93)</f>
        <v>164258.22</v>
      </c>
      <c r="Z93" s="257">
        <f>223452*1.03</f>
        <v>230155.56</v>
      </c>
      <c r="AA93" s="257"/>
      <c r="AB93" s="257"/>
      <c r="AC93" s="257"/>
      <c r="AD93" s="257"/>
      <c r="AE93" s="257"/>
      <c r="AF93" s="241">
        <f>SUM(Z93:AE93)</f>
        <v>230155.56</v>
      </c>
      <c r="AH93" s="257">
        <v>180277</v>
      </c>
      <c r="AI93" s="257"/>
      <c r="AJ93" s="257"/>
      <c r="AK93" s="257"/>
      <c r="AL93" s="257"/>
      <c r="AM93" s="257"/>
      <c r="AN93" s="241">
        <f>SUM(AH93:AM93)</f>
        <v>180277</v>
      </c>
      <c r="AP93" s="257">
        <f>135000*1.03</f>
        <v>139050</v>
      </c>
      <c r="AQ93" s="257"/>
      <c r="AR93" s="257"/>
      <c r="AS93" s="257"/>
      <c r="AT93" s="257"/>
      <c r="AU93" s="257"/>
      <c r="AV93" s="241">
        <f>SUM(AP93:AU93)</f>
        <v>139050</v>
      </c>
      <c r="AX93" s="257"/>
      <c r="AY93" s="257"/>
      <c r="AZ93" s="257"/>
      <c r="BA93" s="257"/>
      <c r="BB93" s="257"/>
      <c r="BC93" s="257"/>
      <c r="BD93" s="241">
        <f>SUM(AX93:BC93)</f>
        <v>0</v>
      </c>
      <c r="BF93" s="257"/>
      <c r="BG93" s="257"/>
      <c r="BH93" s="257"/>
      <c r="BI93" s="257"/>
      <c r="BJ93" s="257"/>
      <c r="BK93" s="257"/>
      <c r="BL93" s="241">
        <f>SUM(BF93:BK93)</f>
        <v>0</v>
      </c>
      <c r="BN93" s="241">
        <f>B93+J93+R93+Z93+AH93+AP93+AX93+BF93</f>
        <v>1057614.52</v>
      </c>
      <c r="BO93" s="241">
        <f t="shared" ref="BO93:BS93" si="158">C93+K93+S93+AA93+AI93+AQ93+AY93+BG93</f>
        <v>0</v>
      </c>
      <c r="BP93" s="241">
        <f t="shared" si="158"/>
        <v>0</v>
      </c>
      <c r="BQ93" s="241">
        <f t="shared" si="158"/>
        <v>0</v>
      </c>
      <c r="BR93" s="241">
        <f t="shared" si="158"/>
        <v>0</v>
      </c>
      <c r="BS93" s="241">
        <f t="shared" si="158"/>
        <v>0</v>
      </c>
      <c r="BT93" s="241">
        <f>SUM(BN93:BS93)</f>
        <v>1057614.52</v>
      </c>
      <c r="BV93" s="241">
        <v>1057614.52</v>
      </c>
      <c r="BW93" s="286">
        <f t="shared" si="148"/>
        <v>0</v>
      </c>
    </row>
    <row r="94" spans="1:75" x14ac:dyDescent="0.25">
      <c r="A94" s="201" t="s">
        <v>232</v>
      </c>
      <c r="B94" s="244">
        <f>102000+102000</f>
        <v>204000</v>
      </c>
      <c r="C94" s="244">
        <v>92000</v>
      </c>
      <c r="D94" s="244"/>
      <c r="E94" s="244"/>
      <c r="F94" s="244"/>
      <c r="G94" s="244"/>
      <c r="H94" s="241">
        <f t="shared" ref="H94:H115" si="159">SUM(B94:G94)</f>
        <v>296000</v>
      </c>
      <c r="J94" s="244">
        <f>(96050+114500+117100+89715+100000+120000)</f>
        <v>637365</v>
      </c>
      <c r="K94" s="244"/>
      <c r="L94" s="244"/>
      <c r="M94" s="244"/>
      <c r="N94" s="244"/>
      <c r="O94" s="244"/>
      <c r="P94" s="241">
        <f t="shared" ref="P94:P115" si="160">SUM(J94:O94)</f>
        <v>637365</v>
      </c>
      <c r="R94" s="244">
        <f>107000+101000+105000</f>
        <v>313000</v>
      </c>
      <c r="S94" s="244"/>
      <c r="T94" s="244"/>
      <c r="U94" s="244"/>
      <c r="V94" s="244"/>
      <c r="W94" s="244"/>
      <c r="X94" s="241">
        <f t="shared" ref="X94:X115" si="161">SUM(R94:W94)</f>
        <v>313000</v>
      </c>
      <c r="Z94" s="244">
        <f>116390+90640</f>
        <v>207030</v>
      </c>
      <c r="AA94" s="244"/>
      <c r="AB94" s="244"/>
      <c r="AC94" s="244"/>
      <c r="AD94" s="244"/>
      <c r="AE94" s="244"/>
      <c r="AF94" s="241">
        <f t="shared" ref="AF94:AF115" si="162">SUM(Z94:AE94)</f>
        <v>207030</v>
      </c>
      <c r="AH94" s="244">
        <f>(122000+107000+107000+97000)</f>
        <v>433000</v>
      </c>
      <c r="AI94" s="244"/>
      <c r="AJ94" s="244"/>
      <c r="AK94" s="244"/>
      <c r="AL94" s="244"/>
      <c r="AM94" s="244"/>
      <c r="AN94" s="241">
        <f t="shared" ref="AN94:AN115" si="163">SUM(AH94:AM94)</f>
        <v>433000</v>
      </c>
      <c r="AP94" s="244"/>
      <c r="AQ94" s="244"/>
      <c r="AR94" s="244"/>
      <c r="AS94" s="244"/>
      <c r="AT94" s="244"/>
      <c r="AU94" s="244"/>
      <c r="AV94" s="241">
        <f t="shared" ref="AV94:AV115" si="164">SUM(AP94:AU94)</f>
        <v>0</v>
      </c>
      <c r="AX94" s="244"/>
      <c r="AY94" s="244"/>
      <c r="AZ94" s="244"/>
      <c r="BA94" s="244"/>
      <c r="BB94" s="244"/>
      <c r="BC94" s="244"/>
      <c r="BD94" s="241">
        <f t="shared" ref="BD94:BD115" si="165">SUM(AX94:BC94)</f>
        <v>0</v>
      </c>
      <c r="BF94" s="244">
        <f>92700+1500+1000</f>
        <v>95200</v>
      </c>
      <c r="BG94" s="244"/>
      <c r="BH94" s="244"/>
      <c r="BI94" s="244"/>
      <c r="BJ94" s="244"/>
      <c r="BK94" s="244"/>
      <c r="BL94" s="241">
        <f t="shared" ref="BL94:BL115" si="166">SUM(BF94:BK94)</f>
        <v>95200</v>
      </c>
      <c r="BN94" s="241">
        <f t="shared" ref="BN94:BN108" si="167">B94+J94+R94+Z94+AH94+AP94+AX94+BF94</f>
        <v>1889595</v>
      </c>
      <c r="BO94" s="241">
        <f t="shared" ref="BO94:BO108" si="168">C94+K94+S94+AA94+AI94+AQ94+AY94+BG94</f>
        <v>92000</v>
      </c>
      <c r="BP94" s="241">
        <f t="shared" ref="BP94:BP108" si="169">D94+L94+T94+AB94+AJ94+AR94+AZ94+BH94</f>
        <v>0</v>
      </c>
      <c r="BQ94" s="241">
        <f t="shared" ref="BQ94:BQ108" si="170">E94+M94+U94+AC94+AK94+AS94+BA94+BI94</f>
        <v>0</v>
      </c>
      <c r="BR94" s="241">
        <f t="shared" ref="BR94:BR108" si="171">F94+N94+V94+AD94+AL94+AT94+BB94+BJ94</f>
        <v>0</v>
      </c>
      <c r="BS94" s="241">
        <f t="shared" ref="BS94:BS108" si="172">G94+O94+W94+AE94+AM94+AU94+BC94+BK94</f>
        <v>0</v>
      </c>
      <c r="BT94" s="241">
        <f t="shared" ref="BT94:BT96" si="173">SUM(BN94:BS94)</f>
        <v>1981595</v>
      </c>
      <c r="BV94" s="241">
        <v>1980595</v>
      </c>
      <c r="BW94" s="286">
        <f t="shared" si="148"/>
        <v>1000</v>
      </c>
    </row>
    <row r="95" spans="1:75" x14ac:dyDescent="0.25">
      <c r="A95" s="201" t="s">
        <v>195</v>
      </c>
      <c r="B95" s="244"/>
      <c r="C95" s="244"/>
      <c r="D95" s="244"/>
      <c r="E95" s="244"/>
      <c r="F95" s="244"/>
      <c r="G95" s="244"/>
      <c r="H95" s="241">
        <f t="shared" si="159"/>
        <v>0</v>
      </c>
      <c r="J95" s="244">
        <f>(80500+81500+75050+80450+80000)</f>
        <v>397500</v>
      </c>
      <c r="K95" s="244"/>
      <c r="L95" s="244"/>
      <c r="M95" s="244"/>
      <c r="N95" s="244"/>
      <c r="O95" s="244"/>
      <c r="P95" s="241">
        <f t="shared" si="160"/>
        <v>397500</v>
      </c>
      <c r="R95" s="244">
        <v>87000</v>
      </c>
      <c r="S95" s="244"/>
      <c r="T95" s="244"/>
      <c r="U95" s="244"/>
      <c r="V95" s="244"/>
      <c r="W95" s="244"/>
      <c r="X95" s="241">
        <f t="shared" si="161"/>
        <v>87000</v>
      </c>
      <c r="Z95" s="244">
        <v>82400</v>
      </c>
      <c r="AA95" s="244"/>
      <c r="AB95" s="244"/>
      <c r="AC95" s="244"/>
      <c r="AD95" s="244"/>
      <c r="AE95" s="244"/>
      <c r="AF95" s="241">
        <f t="shared" si="162"/>
        <v>82400</v>
      </c>
      <c r="AH95" s="244">
        <f>(77500+75000+85000+82000)</f>
        <v>319500</v>
      </c>
      <c r="AI95" s="244"/>
      <c r="AJ95" s="244"/>
      <c r="AK95" s="244"/>
      <c r="AL95" s="244"/>
      <c r="AM95" s="244"/>
      <c r="AN95" s="241">
        <f t="shared" si="163"/>
        <v>319500</v>
      </c>
      <c r="AP95" s="244"/>
      <c r="AQ95" s="244"/>
      <c r="AR95" s="244"/>
      <c r="AS95" s="244"/>
      <c r="AT95" s="244"/>
      <c r="AU95" s="244"/>
      <c r="AV95" s="241">
        <f t="shared" si="164"/>
        <v>0</v>
      </c>
      <c r="AX95" s="244"/>
      <c r="AY95" s="244"/>
      <c r="AZ95" s="244"/>
      <c r="BA95" s="244"/>
      <c r="BB95" s="244"/>
      <c r="BC95" s="244"/>
      <c r="BD95" s="241">
        <f t="shared" si="165"/>
        <v>0</v>
      </c>
      <c r="BF95" s="244"/>
      <c r="BG95" s="244"/>
      <c r="BH95" s="244"/>
      <c r="BI95" s="244"/>
      <c r="BJ95" s="244"/>
      <c r="BK95" s="244"/>
      <c r="BL95" s="241">
        <f t="shared" si="166"/>
        <v>0</v>
      </c>
      <c r="BN95" s="241">
        <f t="shared" si="167"/>
        <v>886400</v>
      </c>
      <c r="BO95" s="241">
        <f t="shared" si="168"/>
        <v>0</v>
      </c>
      <c r="BP95" s="241">
        <f t="shared" si="169"/>
        <v>0</v>
      </c>
      <c r="BQ95" s="241">
        <f t="shared" si="170"/>
        <v>0</v>
      </c>
      <c r="BR95" s="241">
        <f t="shared" si="171"/>
        <v>0</v>
      </c>
      <c r="BS95" s="241">
        <f t="shared" si="172"/>
        <v>0</v>
      </c>
      <c r="BT95" s="241">
        <f t="shared" si="173"/>
        <v>886400</v>
      </c>
      <c r="BV95" s="241">
        <v>886400</v>
      </c>
      <c r="BW95" s="286">
        <f t="shared" si="148"/>
        <v>0</v>
      </c>
    </row>
    <row r="96" spans="1:75" x14ac:dyDescent="0.25">
      <c r="A96" s="201" t="s">
        <v>233</v>
      </c>
      <c r="B96" s="244"/>
      <c r="C96" s="244"/>
      <c r="D96" s="244"/>
      <c r="E96" s="244"/>
      <c r="F96" s="244"/>
      <c r="G96" s="244"/>
      <c r="H96" s="241">
        <f t="shared" si="159"/>
        <v>0</v>
      </c>
      <c r="J96" s="244">
        <f>76750</f>
        <v>76750</v>
      </c>
      <c r="K96" s="244"/>
      <c r="L96" s="244"/>
      <c r="M96" s="244"/>
      <c r="N96" s="244"/>
      <c r="O96" s="244"/>
      <c r="P96" s="241">
        <f t="shared" si="160"/>
        <v>76750</v>
      </c>
      <c r="R96" s="244"/>
      <c r="S96" s="244"/>
      <c r="T96" s="244"/>
      <c r="U96" s="244"/>
      <c r="V96" s="244"/>
      <c r="W96" s="244"/>
      <c r="X96" s="241">
        <f t="shared" si="161"/>
        <v>0</v>
      </c>
      <c r="Z96" s="244"/>
      <c r="AA96" s="244"/>
      <c r="AB96" s="244"/>
      <c r="AC96" s="244"/>
      <c r="AD96" s="244"/>
      <c r="AE96" s="244"/>
      <c r="AF96" s="241">
        <f t="shared" si="162"/>
        <v>0</v>
      </c>
      <c r="AH96" s="242"/>
      <c r="AI96" s="244"/>
      <c r="AJ96" s="244"/>
      <c r="AK96" s="244"/>
      <c r="AL96" s="244"/>
      <c r="AM96" s="244"/>
      <c r="AN96" s="241">
        <f t="shared" si="163"/>
        <v>0</v>
      </c>
      <c r="AP96" s="244"/>
      <c r="AQ96" s="244"/>
      <c r="AR96" s="244"/>
      <c r="AS96" s="244"/>
      <c r="AT96" s="244"/>
      <c r="AU96" s="244"/>
      <c r="AV96" s="241">
        <f t="shared" si="164"/>
        <v>0</v>
      </c>
      <c r="AX96" s="244"/>
      <c r="AY96" s="244"/>
      <c r="AZ96" s="244"/>
      <c r="BA96" s="244"/>
      <c r="BB96" s="244"/>
      <c r="BC96" s="244"/>
      <c r="BD96" s="241">
        <f t="shared" si="165"/>
        <v>0</v>
      </c>
      <c r="BF96" s="244"/>
      <c r="BG96" s="244"/>
      <c r="BH96" s="244"/>
      <c r="BI96" s="244"/>
      <c r="BJ96" s="244"/>
      <c r="BK96" s="244"/>
      <c r="BL96" s="241">
        <f t="shared" si="166"/>
        <v>0</v>
      </c>
      <c r="BN96" s="241">
        <f t="shared" si="167"/>
        <v>76750</v>
      </c>
      <c r="BO96" s="241">
        <f t="shared" si="168"/>
        <v>0</v>
      </c>
      <c r="BP96" s="241">
        <f t="shared" si="169"/>
        <v>0</v>
      </c>
      <c r="BQ96" s="241">
        <f t="shared" si="170"/>
        <v>0</v>
      </c>
      <c r="BR96" s="241">
        <f t="shared" si="171"/>
        <v>0</v>
      </c>
      <c r="BS96" s="241">
        <f t="shared" si="172"/>
        <v>0</v>
      </c>
      <c r="BT96" s="241">
        <f t="shared" si="173"/>
        <v>76750</v>
      </c>
      <c r="BV96" s="241">
        <v>76750</v>
      </c>
      <c r="BW96" s="286">
        <f t="shared" si="148"/>
        <v>0</v>
      </c>
    </row>
    <row r="97" spans="1:75" x14ac:dyDescent="0.25">
      <c r="A97" s="201" t="s">
        <v>234</v>
      </c>
      <c r="B97" s="244"/>
      <c r="C97" s="244"/>
      <c r="D97" s="244"/>
      <c r="E97" s="244"/>
      <c r="F97" s="244"/>
      <c r="G97" s="244"/>
      <c r="H97" s="241">
        <f t="shared" si="159"/>
        <v>0</v>
      </c>
      <c r="J97" s="244">
        <f>(87000+74160+65000+75000)</f>
        <v>301160</v>
      </c>
      <c r="K97" s="244"/>
      <c r="L97" s="244"/>
      <c r="M97" s="244"/>
      <c r="N97" s="244"/>
      <c r="O97" s="244"/>
      <c r="P97" s="241">
        <f t="shared" si="160"/>
        <v>301160</v>
      </c>
      <c r="R97" s="244"/>
      <c r="S97" s="244"/>
      <c r="T97" s="244"/>
      <c r="U97" s="244"/>
      <c r="V97" s="244"/>
      <c r="W97" s="244"/>
      <c r="X97" s="241">
        <f t="shared" si="161"/>
        <v>0</v>
      </c>
      <c r="Z97" s="244"/>
      <c r="AA97" s="244"/>
      <c r="AB97" s="244"/>
      <c r="AC97" s="244"/>
      <c r="AD97" s="244"/>
      <c r="AE97" s="244"/>
      <c r="AF97" s="241">
        <f t="shared" si="162"/>
        <v>0</v>
      </c>
      <c r="AH97" s="244">
        <f>(75000+85500+75000)</f>
        <v>235500</v>
      </c>
      <c r="AI97" s="244"/>
      <c r="AJ97" s="244"/>
      <c r="AK97" s="244"/>
      <c r="AL97" s="244"/>
      <c r="AM97" s="244"/>
      <c r="AN97" s="241">
        <f t="shared" si="163"/>
        <v>235500</v>
      </c>
      <c r="AP97" s="244"/>
      <c r="AQ97" s="244"/>
      <c r="AR97" s="244"/>
      <c r="AS97" s="244"/>
      <c r="AT97" s="244"/>
      <c r="AU97" s="244"/>
      <c r="AV97" s="241">
        <f t="shared" si="164"/>
        <v>0</v>
      </c>
      <c r="AX97" s="244"/>
      <c r="AY97" s="244"/>
      <c r="AZ97" s="244"/>
      <c r="BA97" s="244"/>
      <c r="BB97" s="244"/>
      <c r="BC97" s="244"/>
      <c r="BD97" s="241">
        <f t="shared" si="165"/>
        <v>0</v>
      </c>
      <c r="BF97" s="244"/>
      <c r="BG97" s="244"/>
      <c r="BH97" s="244"/>
      <c r="BI97" s="244"/>
      <c r="BJ97" s="244"/>
      <c r="BK97" s="244"/>
      <c r="BL97" s="241">
        <f>SUM(BF97:BK97)</f>
        <v>0</v>
      </c>
      <c r="BN97" s="241">
        <f t="shared" si="167"/>
        <v>536660</v>
      </c>
      <c r="BO97" s="241">
        <f t="shared" si="168"/>
        <v>0</v>
      </c>
      <c r="BP97" s="241">
        <f t="shared" si="169"/>
        <v>0</v>
      </c>
      <c r="BQ97" s="241">
        <f t="shared" si="170"/>
        <v>0</v>
      </c>
      <c r="BR97" s="241">
        <f t="shared" si="171"/>
        <v>0</v>
      </c>
      <c r="BS97" s="241">
        <f t="shared" si="172"/>
        <v>0</v>
      </c>
      <c r="BT97" s="241">
        <f>SUM(BN97:BS97)</f>
        <v>536660</v>
      </c>
      <c r="BV97" s="241">
        <v>536660</v>
      </c>
      <c r="BW97" s="286">
        <f t="shared" si="148"/>
        <v>0</v>
      </c>
    </row>
    <row r="98" spans="1:75" x14ac:dyDescent="0.25">
      <c r="A98" s="201" t="s">
        <v>235</v>
      </c>
      <c r="B98" s="244">
        <f>(72500+66500)</f>
        <v>139000</v>
      </c>
      <c r="C98" s="244"/>
      <c r="D98" s="244"/>
      <c r="E98" s="244"/>
      <c r="F98" s="244"/>
      <c r="G98" s="244"/>
      <c r="H98" s="241">
        <f t="shared" si="159"/>
        <v>139000</v>
      </c>
      <c r="J98" s="244">
        <f>((58960+58700+67825)+(63650+58700))+10000</f>
        <v>317835</v>
      </c>
      <c r="K98" s="244"/>
      <c r="L98" s="244"/>
      <c r="M98" s="244"/>
      <c r="N98" s="244"/>
      <c r="O98" s="244"/>
      <c r="P98" s="241">
        <f t="shared" si="160"/>
        <v>317835</v>
      </c>
      <c r="R98" s="244">
        <f>(70000+56000)</f>
        <v>126000</v>
      </c>
      <c r="S98" s="244"/>
      <c r="T98" s="244"/>
      <c r="U98" s="244"/>
      <c r="V98" s="244"/>
      <c r="W98" s="244"/>
      <c r="X98" s="241">
        <f t="shared" si="161"/>
        <v>126000</v>
      </c>
      <c r="Z98" s="244">
        <f>65976+46350</f>
        <v>112326</v>
      </c>
      <c r="AA98" s="244"/>
      <c r="AB98" s="244"/>
      <c r="AC98" s="244"/>
      <c r="AD98" s="244"/>
      <c r="AE98" s="244"/>
      <c r="AF98" s="241">
        <f t="shared" si="162"/>
        <v>112326</v>
      </c>
      <c r="AH98" s="244">
        <f>(63000+59000+62500)+(22.5*8*200)</f>
        <v>220500</v>
      </c>
      <c r="AI98" s="244"/>
      <c r="AJ98" s="244"/>
      <c r="AK98" s="244"/>
      <c r="AL98" s="244"/>
      <c r="AM98" s="244"/>
      <c r="AN98" s="241">
        <f t="shared" si="163"/>
        <v>220500</v>
      </c>
      <c r="AP98" s="244">
        <f>57000</f>
        <v>57000</v>
      </c>
      <c r="AQ98" s="244"/>
      <c r="AR98" s="244"/>
      <c r="AS98" s="244"/>
      <c r="AT98" s="244"/>
      <c r="AU98" s="244"/>
      <c r="AV98" s="241">
        <f t="shared" si="164"/>
        <v>57000</v>
      </c>
      <c r="AX98" s="244"/>
      <c r="AY98" s="244"/>
      <c r="AZ98" s="244"/>
      <c r="BA98" s="244"/>
      <c r="BB98" s="244"/>
      <c r="BC98" s="244"/>
      <c r="BD98" s="241">
        <f t="shared" si="165"/>
        <v>0</v>
      </c>
      <c r="BF98" s="244">
        <f>92700+1500+1000</f>
        <v>95200</v>
      </c>
      <c r="BG98" s="244"/>
      <c r="BH98" s="244"/>
      <c r="BI98" s="244"/>
      <c r="BJ98" s="244"/>
      <c r="BK98" s="244"/>
      <c r="BL98" s="241">
        <f t="shared" si="166"/>
        <v>95200</v>
      </c>
      <c r="BN98" s="241">
        <f t="shared" si="167"/>
        <v>1067861</v>
      </c>
      <c r="BO98" s="241">
        <f t="shared" si="168"/>
        <v>0</v>
      </c>
      <c r="BP98" s="241">
        <f t="shared" si="169"/>
        <v>0</v>
      </c>
      <c r="BQ98" s="241">
        <f t="shared" si="170"/>
        <v>0</v>
      </c>
      <c r="BR98" s="241">
        <f t="shared" si="171"/>
        <v>0</v>
      </c>
      <c r="BS98" s="241">
        <f t="shared" si="172"/>
        <v>0</v>
      </c>
      <c r="BT98" s="241">
        <f t="shared" ref="BT98:BT103" si="174">SUM(BN98:BS98)</f>
        <v>1067861</v>
      </c>
      <c r="BV98" s="241">
        <v>1061361</v>
      </c>
      <c r="BW98" s="286">
        <f t="shared" si="148"/>
        <v>6500</v>
      </c>
    </row>
    <row r="99" spans="1:75" x14ac:dyDescent="0.25">
      <c r="A99" s="201" t="s">
        <v>236</v>
      </c>
      <c r="B99" s="244">
        <f>(21*8*190)*(B48+B49)</f>
        <v>95760</v>
      </c>
      <c r="C99" s="244"/>
      <c r="D99" s="244"/>
      <c r="E99" s="244"/>
      <c r="F99" s="244"/>
      <c r="G99" s="244"/>
      <c r="H99" s="241">
        <f t="shared" si="159"/>
        <v>95760</v>
      </c>
      <c r="J99" s="244">
        <f>(20.66*8*190)*(J48+J49)</f>
        <v>188419.20000000001</v>
      </c>
      <c r="K99" s="244"/>
      <c r="L99" s="244"/>
      <c r="M99" s="244"/>
      <c r="N99" s="244"/>
      <c r="O99" s="244"/>
      <c r="P99" s="241">
        <f t="shared" si="160"/>
        <v>188419.20000000001</v>
      </c>
      <c r="R99" s="244">
        <f>(22*8*190)*(R49+R48)</f>
        <v>100320</v>
      </c>
      <c r="S99" s="244"/>
      <c r="T99" s="244"/>
      <c r="U99" s="244"/>
      <c r="V99" s="244"/>
      <c r="W99" s="244"/>
      <c r="X99" s="241">
        <f t="shared" si="161"/>
        <v>100320</v>
      </c>
      <c r="Z99" s="244">
        <f>46000+(18.5*7.5*185)</f>
        <v>71668.75</v>
      </c>
      <c r="AA99" s="244"/>
      <c r="AB99" s="244"/>
      <c r="AC99" s="244"/>
      <c r="AD99" s="244"/>
      <c r="AE99" s="244"/>
      <c r="AF99" s="241">
        <f t="shared" si="162"/>
        <v>71668.75</v>
      </c>
      <c r="AH99" s="244">
        <f>(21.5*8*190)*(AH49+AH48)</f>
        <v>228760</v>
      </c>
      <c r="AI99" s="244"/>
      <c r="AJ99" s="244"/>
      <c r="AK99" s="244"/>
      <c r="AL99" s="244"/>
      <c r="AM99" s="244"/>
      <c r="AN99" s="241">
        <f t="shared" si="163"/>
        <v>228760</v>
      </c>
      <c r="AP99" s="244">
        <f>((21*8*190)*(AP48))+50000</f>
        <v>81920</v>
      </c>
      <c r="AQ99" s="244"/>
      <c r="AR99" s="244"/>
      <c r="AS99" s="244"/>
      <c r="AT99" s="244"/>
      <c r="AU99" s="244"/>
      <c r="AV99" s="241">
        <f t="shared" si="164"/>
        <v>81920</v>
      </c>
      <c r="AX99" s="244"/>
      <c r="AY99" s="244"/>
      <c r="AZ99" s="244"/>
      <c r="BA99" s="244"/>
      <c r="BB99" s="244"/>
      <c r="BC99" s="244"/>
      <c r="BD99" s="241">
        <f t="shared" si="165"/>
        <v>0</v>
      </c>
      <c r="BF99" s="244">
        <f>46500+550</f>
        <v>47050</v>
      </c>
      <c r="BG99" s="244"/>
      <c r="BH99" s="244"/>
      <c r="BI99" s="244"/>
      <c r="BJ99" s="244"/>
      <c r="BK99" s="244"/>
      <c r="BL99" s="241">
        <f t="shared" si="166"/>
        <v>47050</v>
      </c>
      <c r="BN99" s="241">
        <f t="shared" si="167"/>
        <v>813897.95</v>
      </c>
      <c r="BO99" s="241">
        <f t="shared" si="168"/>
        <v>0</v>
      </c>
      <c r="BP99" s="241">
        <f t="shared" si="169"/>
        <v>0</v>
      </c>
      <c r="BQ99" s="241">
        <f t="shared" si="170"/>
        <v>0</v>
      </c>
      <c r="BR99" s="241">
        <f t="shared" si="171"/>
        <v>0</v>
      </c>
      <c r="BS99" s="241">
        <f t="shared" si="172"/>
        <v>0</v>
      </c>
      <c r="BT99" s="241">
        <f t="shared" si="174"/>
        <v>813897.95</v>
      </c>
      <c r="BV99" s="241">
        <v>763897.95</v>
      </c>
      <c r="BW99" s="286">
        <f t="shared" si="148"/>
        <v>50000</v>
      </c>
    </row>
    <row r="100" spans="1:75" x14ac:dyDescent="0.25">
      <c r="A100" s="201" t="s">
        <v>324</v>
      </c>
      <c r="B100" s="244"/>
      <c r="C100" s="244"/>
      <c r="D100" s="244"/>
      <c r="E100" s="244"/>
      <c r="F100" s="244"/>
      <c r="G100" s="244"/>
      <c r="H100" s="241">
        <f t="shared" si="159"/>
        <v>0</v>
      </c>
      <c r="J100" s="244">
        <f>43900</f>
        <v>43900</v>
      </c>
      <c r="K100" s="244"/>
      <c r="L100" s="244"/>
      <c r="M100" s="244"/>
      <c r="N100" s="244"/>
      <c r="O100" s="244"/>
      <c r="P100" s="241">
        <f t="shared" si="160"/>
        <v>43900</v>
      </c>
      <c r="R100" s="244">
        <f>26*7.5*215</f>
        <v>41925</v>
      </c>
      <c r="S100" s="244"/>
      <c r="T100" s="244"/>
      <c r="U100" s="244"/>
      <c r="V100" s="244"/>
      <c r="W100" s="244"/>
      <c r="X100" s="241">
        <f t="shared" si="161"/>
        <v>41925</v>
      </c>
      <c r="Z100" s="244"/>
      <c r="AA100" s="244"/>
      <c r="AB100" s="244"/>
      <c r="AC100" s="244"/>
      <c r="AD100" s="244"/>
      <c r="AE100" s="244"/>
      <c r="AF100" s="241">
        <f t="shared" si="162"/>
        <v>0</v>
      </c>
      <c r="AH100" s="244">
        <v>50500</v>
      </c>
      <c r="AI100" s="244"/>
      <c r="AJ100" s="244"/>
      <c r="AK100" s="244"/>
      <c r="AL100" s="244"/>
      <c r="AM100" s="244"/>
      <c r="AN100" s="241">
        <f t="shared" si="163"/>
        <v>50500</v>
      </c>
      <c r="AP100" s="244"/>
      <c r="AQ100" s="244"/>
      <c r="AR100" s="244"/>
      <c r="AS100" s="244"/>
      <c r="AT100" s="244"/>
      <c r="AU100" s="244"/>
      <c r="AV100" s="241">
        <f t="shared" si="164"/>
        <v>0</v>
      </c>
      <c r="AX100" s="244"/>
      <c r="AY100" s="244"/>
      <c r="AZ100" s="244"/>
      <c r="BA100" s="244"/>
      <c r="BB100" s="244"/>
      <c r="BC100" s="244"/>
      <c r="BD100" s="241">
        <f t="shared" si="165"/>
        <v>0</v>
      </c>
      <c r="BF100" s="244"/>
      <c r="BG100" s="244"/>
      <c r="BH100" s="244"/>
      <c r="BI100" s="244"/>
      <c r="BJ100" s="244"/>
      <c r="BK100" s="244"/>
      <c r="BL100" s="241">
        <f t="shared" si="166"/>
        <v>0</v>
      </c>
      <c r="BN100" s="241">
        <f t="shared" si="167"/>
        <v>136325</v>
      </c>
      <c r="BO100" s="241">
        <f t="shared" si="168"/>
        <v>0</v>
      </c>
      <c r="BP100" s="241">
        <f t="shared" si="169"/>
        <v>0</v>
      </c>
      <c r="BQ100" s="241">
        <f t="shared" si="170"/>
        <v>0</v>
      </c>
      <c r="BR100" s="241">
        <f t="shared" si="171"/>
        <v>0</v>
      </c>
      <c r="BS100" s="241">
        <f t="shared" si="172"/>
        <v>0</v>
      </c>
      <c r="BT100" s="241">
        <f t="shared" si="174"/>
        <v>136325</v>
      </c>
      <c r="BV100" s="241">
        <v>136325</v>
      </c>
      <c r="BW100" s="286">
        <f t="shared" si="148"/>
        <v>0</v>
      </c>
    </row>
    <row r="101" spans="1:75" x14ac:dyDescent="0.25">
      <c r="A101" s="201" t="s">
        <v>237</v>
      </c>
      <c r="B101" s="244">
        <f>(25*8*240)*B51</f>
        <v>96000</v>
      </c>
      <c r="C101" s="244"/>
      <c r="D101" s="244"/>
      <c r="E101" s="244"/>
      <c r="F101" s="244"/>
      <c r="G101" s="244"/>
      <c r="H101" s="241">
        <f t="shared" si="159"/>
        <v>96000</v>
      </c>
      <c r="J101" s="244">
        <f>((21.65*8*240)*J51-1)+((58700+47000))</f>
        <v>438243</v>
      </c>
      <c r="K101" s="244"/>
      <c r="L101" s="244"/>
      <c r="M101" s="244"/>
      <c r="N101" s="244"/>
      <c r="O101" s="244"/>
      <c r="P101" s="241">
        <f t="shared" si="160"/>
        <v>438243</v>
      </c>
      <c r="R101" s="244">
        <f>(22*8*240)*R51</f>
        <v>126720</v>
      </c>
      <c r="S101" s="244"/>
      <c r="T101" s="244"/>
      <c r="U101" s="244"/>
      <c r="V101" s="244"/>
      <c r="W101" s="244"/>
      <c r="X101" s="241">
        <f t="shared" si="161"/>
        <v>126720</v>
      </c>
      <c r="Z101" s="244">
        <f>(23*8*240)*Z51</f>
        <v>132480</v>
      </c>
      <c r="AA101" s="244"/>
      <c r="AB101" s="244"/>
      <c r="AC101" s="244"/>
      <c r="AD101" s="244"/>
      <c r="AE101" s="244"/>
      <c r="AF101" s="241">
        <f t="shared" si="162"/>
        <v>132480</v>
      </c>
      <c r="AH101" s="244">
        <f>(21*8*240)*AH51-96</f>
        <v>362784</v>
      </c>
      <c r="AI101" s="244"/>
      <c r="AJ101" s="244"/>
      <c r="AK101" s="244"/>
      <c r="AL101" s="244"/>
      <c r="AM101" s="244"/>
      <c r="AN101" s="241">
        <f t="shared" si="163"/>
        <v>362784</v>
      </c>
      <c r="AP101" s="244">
        <f>(22*8*240)+(22*4*185)</f>
        <v>58520</v>
      </c>
      <c r="AQ101" s="244"/>
      <c r="AR101" s="244"/>
      <c r="AS101" s="244"/>
      <c r="AU101" s="244"/>
      <c r="AV101" s="241">
        <f t="shared" si="164"/>
        <v>58520</v>
      </c>
      <c r="AX101" s="244"/>
      <c r="AY101" s="244"/>
      <c r="AZ101" s="244"/>
      <c r="BA101" s="244"/>
      <c r="BB101" s="244"/>
      <c r="BC101" s="244"/>
      <c r="BD101" s="241">
        <f t="shared" si="165"/>
        <v>0</v>
      </c>
      <c r="BF101" s="244"/>
      <c r="BG101" s="244"/>
      <c r="BH101" s="244"/>
      <c r="BI101" s="244"/>
      <c r="BJ101" s="244"/>
      <c r="BK101" s="244"/>
      <c r="BL101" s="241">
        <f t="shared" si="166"/>
        <v>0</v>
      </c>
      <c r="BN101" s="241">
        <f t="shared" si="167"/>
        <v>1214747</v>
      </c>
      <c r="BO101" s="241">
        <f t="shared" si="168"/>
        <v>0</v>
      </c>
      <c r="BP101" s="241">
        <f t="shared" si="169"/>
        <v>0</v>
      </c>
      <c r="BQ101" s="241">
        <f t="shared" si="170"/>
        <v>0</v>
      </c>
      <c r="BR101" s="241">
        <f t="shared" si="171"/>
        <v>0</v>
      </c>
      <c r="BS101" s="241">
        <f t="shared" si="172"/>
        <v>0</v>
      </c>
      <c r="BT101" s="241">
        <f t="shared" si="174"/>
        <v>1214747</v>
      </c>
      <c r="BV101" s="241">
        <v>1214747</v>
      </c>
      <c r="BW101" s="286">
        <f t="shared" si="148"/>
        <v>0</v>
      </c>
    </row>
    <row r="102" spans="1:75" x14ac:dyDescent="0.25">
      <c r="A102" s="201" t="s">
        <v>238</v>
      </c>
      <c r="B102" s="244"/>
      <c r="C102" s="244"/>
      <c r="D102" s="244">
        <f>(20*8*180)+(23*8*180)</f>
        <v>61920</v>
      </c>
      <c r="E102" s="244"/>
      <c r="F102" s="244"/>
      <c r="G102" s="244"/>
      <c r="H102" s="241">
        <f t="shared" si="159"/>
        <v>61920</v>
      </c>
      <c r="J102" s="244"/>
      <c r="K102" s="244"/>
      <c r="L102" s="244">
        <f>(20.66*6*180*3)+(21.65*8*180*3)</f>
        <v>160466.4</v>
      </c>
      <c r="M102" s="244"/>
      <c r="N102" s="244"/>
      <c r="O102" s="244"/>
      <c r="P102" s="241">
        <f t="shared" si="160"/>
        <v>160466.4</v>
      </c>
      <c r="R102" s="244"/>
      <c r="S102" s="244"/>
      <c r="T102" s="244">
        <f>(20*7.5*180)+41200</f>
        <v>68200</v>
      </c>
      <c r="U102" s="244"/>
      <c r="V102" s="244"/>
      <c r="W102" s="244"/>
      <c r="X102" s="241">
        <f t="shared" si="161"/>
        <v>68200</v>
      </c>
      <c r="Z102" s="244"/>
      <c r="AA102" s="244"/>
      <c r="AB102" s="244">
        <f>(20*8*180)+(23*8*180)</f>
        <v>61920</v>
      </c>
      <c r="AC102" s="244"/>
      <c r="AD102" s="244"/>
      <c r="AE102" s="244"/>
      <c r="AF102" s="241">
        <f t="shared" si="162"/>
        <v>61920</v>
      </c>
      <c r="AH102" s="244"/>
      <c r="AI102" s="244"/>
      <c r="AJ102" s="244">
        <f>(20*6*180*3)+(21*8*180)</f>
        <v>95040</v>
      </c>
      <c r="AK102" s="244"/>
      <c r="AL102" s="244"/>
      <c r="AM102" s="244"/>
      <c r="AN102" s="241">
        <f t="shared" si="163"/>
        <v>95040</v>
      </c>
      <c r="AP102" s="244"/>
      <c r="AQ102" s="244"/>
      <c r="AR102" s="244">
        <f>(20*8*180)</f>
        <v>28800</v>
      </c>
      <c r="AS102" s="244"/>
      <c r="AT102" s="244"/>
      <c r="AU102" s="244"/>
      <c r="AV102" s="241">
        <f t="shared" si="164"/>
        <v>28800</v>
      </c>
      <c r="AX102" s="244"/>
      <c r="AY102" s="244"/>
      <c r="AZ102" s="244"/>
      <c r="BA102" s="244"/>
      <c r="BB102" s="244"/>
      <c r="BC102" s="244"/>
      <c r="BD102" s="241">
        <f t="shared" si="165"/>
        <v>0</v>
      </c>
      <c r="BF102" s="244"/>
      <c r="BG102" s="244"/>
      <c r="BH102" s="244">
        <f>(27*5*190)</f>
        <v>25650</v>
      </c>
      <c r="BI102" s="244"/>
      <c r="BJ102" s="244"/>
      <c r="BK102" s="244"/>
      <c r="BL102" s="241">
        <f t="shared" si="166"/>
        <v>25650</v>
      </c>
      <c r="BN102" s="241">
        <f t="shared" si="167"/>
        <v>0</v>
      </c>
      <c r="BO102" s="241">
        <f t="shared" si="168"/>
        <v>0</v>
      </c>
      <c r="BP102" s="241">
        <f t="shared" si="169"/>
        <v>501996.4</v>
      </c>
      <c r="BQ102" s="241">
        <f t="shared" si="170"/>
        <v>0</v>
      </c>
      <c r="BR102" s="241">
        <f t="shared" si="171"/>
        <v>0</v>
      </c>
      <c r="BS102" s="241">
        <f t="shared" si="172"/>
        <v>0</v>
      </c>
      <c r="BT102" s="241">
        <f t="shared" si="174"/>
        <v>501996.4</v>
      </c>
      <c r="BV102" s="241">
        <v>501996.4</v>
      </c>
      <c r="BW102" s="286">
        <f t="shared" si="148"/>
        <v>0</v>
      </c>
    </row>
    <row r="103" spans="1:75" x14ac:dyDescent="0.25">
      <c r="A103" s="201" t="s">
        <v>239</v>
      </c>
      <c r="B103" s="244"/>
      <c r="C103" s="244"/>
      <c r="D103" s="244"/>
      <c r="E103" s="244"/>
      <c r="F103" s="244"/>
      <c r="G103" s="244"/>
      <c r="H103" s="241">
        <f t="shared" si="159"/>
        <v>0</v>
      </c>
      <c r="J103" s="244"/>
      <c r="K103" s="244"/>
      <c r="L103" s="244"/>
      <c r="M103" s="244"/>
      <c r="N103" s="244"/>
      <c r="O103" s="244"/>
      <c r="P103" s="241">
        <f t="shared" si="160"/>
        <v>0</v>
      </c>
      <c r="R103" s="244"/>
      <c r="S103" s="244"/>
      <c r="T103" s="244"/>
      <c r="U103" s="244"/>
      <c r="V103" s="244"/>
      <c r="W103" s="244"/>
      <c r="X103" s="241">
        <f t="shared" si="161"/>
        <v>0</v>
      </c>
      <c r="Z103" s="244"/>
      <c r="AA103" s="244">
        <v>25750</v>
      </c>
      <c r="AB103" s="244"/>
      <c r="AC103" s="244"/>
      <c r="AD103" s="244"/>
      <c r="AE103" s="244"/>
      <c r="AF103" s="241">
        <f t="shared" si="162"/>
        <v>25750</v>
      </c>
      <c r="AH103" s="244">
        <v>49440</v>
      </c>
      <c r="AI103" s="244"/>
      <c r="AJ103" s="244"/>
      <c r="AK103" s="244"/>
      <c r="AL103" s="244"/>
      <c r="AM103" s="244"/>
      <c r="AN103" s="241">
        <f t="shared" si="163"/>
        <v>49440</v>
      </c>
      <c r="AP103" s="244"/>
      <c r="AQ103" s="244"/>
      <c r="AR103" s="244"/>
      <c r="AS103" s="244"/>
      <c r="AT103" s="244"/>
      <c r="AU103" s="244"/>
      <c r="AV103" s="241">
        <f t="shared" si="164"/>
        <v>0</v>
      </c>
      <c r="AX103" s="244"/>
      <c r="AY103" s="244"/>
      <c r="AZ103" s="244"/>
      <c r="BA103" s="244"/>
      <c r="BB103" s="244"/>
      <c r="BC103" s="244"/>
      <c r="BD103" s="241">
        <f t="shared" si="165"/>
        <v>0</v>
      </c>
      <c r="BF103" s="244"/>
      <c r="BG103" s="244"/>
      <c r="BH103" s="244"/>
      <c r="BI103" s="244"/>
      <c r="BJ103" s="244"/>
      <c r="BK103" s="244"/>
      <c r="BL103" s="241">
        <f t="shared" si="166"/>
        <v>0</v>
      </c>
      <c r="BN103" s="241">
        <f t="shared" si="167"/>
        <v>49440</v>
      </c>
      <c r="BO103" s="241">
        <f t="shared" si="168"/>
        <v>25750</v>
      </c>
      <c r="BP103" s="241">
        <f t="shared" si="169"/>
        <v>0</v>
      </c>
      <c r="BQ103" s="241">
        <f t="shared" si="170"/>
        <v>0</v>
      </c>
      <c r="BR103" s="241">
        <f t="shared" si="171"/>
        <v>0</v>
      </c>
      <c r="BS103" s="241">
        <f t="shared" si="172"/>
        <v>0</v>
      </c>
      <c r="BT103" s="241">
        <f t="shared" si="174"/>
        <v>75190</v>
      </c>
      <c r="BV103" s="241">
        <v>75190</v>
      </c>
      <c r="BW103" s="286">
        <f t="shared" si="148"/>
        <v>0</v>
      </c>
    </row>
    <row r="104" spans="1:75" x14ac:dyDescent="0.25">
      <c r="A104" s="201" t="s">
        <v>204</v>
      </c>
      <c r="B104" s="244"/>
      <c r="C104" s="244">
        <v>79250</v>
      </c>
      <c r="D104" s="244"/>
      <c r="E104" s="244"/>
      <c r="F104" s="244"/>
      <c r="G104" s="244"/>
      <c r="H104" s="241">
        <f>SUM(B104:G104)</f>
        <v>79250</v>
      </c>
      <c r="J104" s="242"/>
      <c r="K104" s="242">
        <f>92700</f>
        <v>92700</v>
      </c>
      <c r="L104" s="244"/>
      <c r="M104" s="244"/>
      <c r="N104" s="244"/>
      <c r="O104" s="244"/>
      <c r="P104" s="241">
        <f>SUM(J104:O104)</f>
        <v>92700</v>
      </c>
      <c r="R104" s="242"/>
      <c r="S104" s="242">
        <v>84400</v>
      </c>
      <c r="T104" s="244"/>
      <c r="U104" s="244"/>
      <c r="V104" s="244"/>
      <c r="W104" s="244"/>
      <c r="X104" s="241">
        <f>SUM(R104:W104)</f>
        <v>84400</v>
      </c>
      <c r="Z104" s="242"/>
      <c r="AA104" s="242">
        <v>59225</v>
      </c>
      <c r="AB104" s="244"/>
      <c r="AC104" s="244"/>
      <c r="AD104" s="244"/>
      <c r="AE104" s="244"/>
      <c r="AF104" s="241">
        <f>SUM(Z104:AE104)</f>
        <v>59225</v>
      </c>
      <c r="AH104" s="242"/>
      <c r="AI104" s="242"/>
      <c r="AJ104" s="244"/>
      <c r="AK104" s="244"/>
      <c r="AL104" s="244"/>
      <c r="AM104" s="244"/>
      <c r="AN104" s="241">
        <f>SUM(AH104:AM104)</f>
        <v>0</v>
      </c>
      <c r="AP104" s="242"/>
      <c r="AQ104" s="242">
        <v>75000</v>
      </c>
      <c r="AR104" s="244"/>
      <c r="AS104" s="244"/>
      <c r="AT104" s="244"/>
      <c r="AU104" s="244"/>
      <c r="AV104" s="241">
        <f>SUM(AP104:AU104)</f>
        <v>75000</v>
      </c>
      <c r="AX104" s="242"/>
      <c r="AY104" s="242"/>
      <c r="AZ104" s="244"/>
      <c r="BA104" s="244"/>
      <c r="BB104" s="244"/>
      <c r="BC104" s="244"/>
      <c r="BD104" s="241">
        <f>SUM(AX104:BC104)</f>
        <v>0</v>
      </c>
      <c r="BF104" s="244"/>
      <c r="BG104" s="244"/>
      <c r="BH104" s="244"/>
      <c r="BI104" s="244"/>
      <c r="BJ104" s="244"/>
      <c r="BK104" s="244"/>
      <c r="BL104" s="241">
        <f>SUM(BF104:BK104)</f>
        <v>0</v>
      </c>
      <c r="BN104" s="241">
        <f t="shared" si="167"/>
        <v>0</v>
      </c>
      <c r="BO104" s="241">
        <f t="shared" si="168"/>
        <v>390575</v>
      </c>
      <c r="BP104" s="241">
        <f t="shared" si="169"/>
        <v>0</v>
      </c>
      <c r="BQ104" s="241">
        <f t="shared" si="170"/>
        <v>0</v>
      </c>
      <c r="BR104" s="241">
        <f t="shared" si="171"/>
        <v>0</v>
      </c>
      <c r="BS104" s="241">
        <f t="shared" si="172"/>
        <v>0</v>
      </c>
      <c r="BT104" s="241">
        <f>SUM(BN104:BS104)</f>
        <v>390575</v>
      </c>
      <c r="BV104" s="241">
        <v>390575</v>
      </c>
      <c r="BW104" s="286">
        <f t="shared" si="148"/>
        <v>0</v>
      </c>
    </row>
    <row r="105" spans="1:75" x14ac:dyDescent="0.25">
      <c r="A105" s="201" t="s">
        <v>240</v>
      </c>
      <c r="B105" s="244"/>
      <c r="C105" s="244"/>
      <c r="D105" s="244"/>
      <c r="E105" s="244"/>
      <c r="F105" s="244"/>
      <c r="G105" s="244"/>
      <c r="H105" s="241">
        <f>SUM(B105:G105)</f>
        <v>0</v>
      </c>
      <c r="J105" s="244"/>
      <c r="K105" s="244">
        <f>63860</f>
        <v>63860</v>
      </c>
      <c r="L105" s="244"/>
      <c r="M105" s="244"/>
      <c r="N105" s="244"/>
      <c r="O105" s="244"/>
      <c r="P105" s="241">
        <f>SUM(J105:O105)</f>
        <v>63860</v>
      </c>
      <c r="R105" s="244"/>
      <c r="S105" s="244"/>
      <c r="T105" s="244"/>
      <c r="U105" s="244"/>
      <c r="V105" s="244"/>
      <c r="W105" s="244"/>
      <c r="X105" s="241">
        <f>SUM(R105:W105)</f>
        <v>0</v>
      </c>
      <c r="Z105" s="242"/>
      <c r="AA105" s="244">
        <v>54848</v>
      </c>
      <c r="AB105" s="244"/>
      <c r="AC105" s="244"/>
      <c r="AD105" s="244"/>
      <c r="AE105" s="244"/>
      <c r="AF105" s="241">
        <f>SUM(Z105:AE105)</f>
        <v>54848</v>
      </c>
      <c r="AH105" s="242">
        <v>0</v>
      </c>
      <c r="AI105" s="244"/>
      <c r="AJ105" s="244"/>
      <c r="AK105" s="244"/>
      <c r="AL105" s="244"/>
      <c r="AM105" s="244"/>
      <c r="AN105" s="241">
        <f>SUM(AH105:AM105)</f>
        <v>0</v>
      </c>
      <c r="AP105" s="244"/>
      <c r="AQ105" s="244"/>
      <c r="AR105" s="244"/>
      <c r="AS105" s="244"/>
      <c r="AT105" s="244"/>
      <c r="AU105" s="244"/>
      <c r="AV105" s="241">
        <f>SUM(AP105:AU105)</f>
        <v>0</v>
      </c>
      <c r="AX105" s="244"/>
      <c r="AY105" s="244"/>
      <c r="AZ105" s="244"/>
      <c r="BA105" s="244"/>
      <c r="BB105" s="244"/>
      <c r="BC105" s="244"/>
      <c r="BD105" s="241">
        <f>SUM(AX105:BC105)</f>
        <v>0</v>
      </c>
      <c r="BF105" s="244"/>
      <c r="BG105" s="244"/>
      <c r="BH105" s="244"/>
      <c r="BI105" s="244"/>
      <c r="BJ105" s="244"/>
      <c r="BK105" s="244"/>
      <c r="BL105" s="241">
        <f>SUM(BF105:BK105)</f>
        <v>0</v>
      </c>
      <c r="BN105" s="241">
        <f t="shared" si="167"/>
        <v>0</v>
      </c>
      <c r="BO105" s="241">
        <f t="shared" si="168"/>
        <v>118708</v>
      </c>
      <c r="BP105" s="241">
        <f t="shared" si="169"/>
        <v>0</v>
      </c>
      <c r="BQ105" s="241">
        <f t="shared" si="170"/>
        <v>0</v>
      </c>
      <c r="BR105" s="241">
        <f t="shared" si="171"/>
        <v>0</v>
      </c>
      <c r="BS105" s="241">
        <f t="shared" si="172"/>
        <v>0</v>
      </c>
      <c r="BT105" s="241">
        <f>SUM(BN105:BS105)</f>
        <v>118708</v>
      </c>
      <c r="BV105" s="241">
        <v>118708</v>
      </c>
      <c r="BW105" s="286">
        <f t="shared" si="148"/>
        <v>0</v>
      </c>
    </row>
    <row r="106" spans="1:75" x14ac:dyDescent="0.25">
      <c r="A106" s="201" t="s">
        <v>241</v>
      </c>
      <c r="B106" s="244"/>
      <c r="C106" s="244"/>
      <c r="D106" s="244"/>
      <c r="E106" s="244"/>
      <c r="F106" s="244"/>
      <c r="G106" s="244"/>
      <c r="H106" s="241">
        <f>SUM(B106:G106)</f>
        <v>0</v>
      </c>
      <c r="J106" s="244"/>
      <c r="K106" s="244">
        <f>98880</f>
        <v>98880</v>
      </c>
      <c r="L106" s="244"/>
      <c r="M106" s="244"/>
      <c r="N106" s="244"/>
      <c r="O106" s="244"/>
      <c r="P106" s="241">
        <f>SUM(J106:O106)</f>
        <v>98880</v>
      </c>
      <c r="R106" s="244"/>
      <c r="S106" s="244">
        <v>46063</v>
      </c>
      <c r="T106" s="244"/>
      <c r="U106" s="244"/>
      <c r="V106" s="244"/>
      <c r="W106" s="244"/>
      <c r="X106" s="241">
        <f>SUM(R106:W106)</f>
        <v>46063</v>
      </c>
      <c r="Z106" s="244"/>
      <c r="AA106" s="244">
        <v>45063</v>
      </c>
      <c r="AB106" s="244"/>
      <c r="AC106" s="244"/>
      <c r="AD106" s="244"/>
      <c r="AE106" s="244"/>
      <c r="AF106" s="241">
        <f>SUM(Z106:AE106)</f>
        <v>45063</v>
      </c>
      <c r="AH106" s="244"/>
      <c r="AI106" s="244">
        <v>94700</v>
      </c>
      <c r="AJ106" s="244"/>
      <c r="AK106" s="244"/>
      <c r="AL106" s="244"/>
      <c r="AM106" s="244"/>
      <c r="AN106" s="241">
        <f>SUM(AH106:AM106)</f>
        <v>94700</v>
      </c>
      <c r="AP106" s="244"/>
      <c r="AQ106" s="244"/>
      <c r="AR106" s="244"/>
      <c r="AS106" s="244"/>
      <c r="AT106" s="244"/>
      <c r="AU106" s="244"/>
      <c r="AV106" s="241">
        <f>SUM(AP106:AU106)</f>
        <v>0</v>
      </c>
      <c r="AX106" s="244"/>
      <c r="AY106" s="244"/>
      <c r="AZ106" s="244"/>
      <c r="BA106" s="244"/>
      <c r="BB106" s="244"/>
      <c r="BC106" s="244"/>
      <c r="BD106" s="241">
        <f>SUM(AX106:BC106)</f>
        <v>0</v>
      </c>
      <c r="BF106" s="244"/>
      <c r="BG106" s="244"/>
      <c r="BH106" s="244"/>
      <c r="BI106" s="244"/>
      <c r="BJ106" s="244"/>
      <c r="BK106" s="244"/>
      <c r="BL106" s="241">
        <f>SUM(BF106:BK106)</f>
        <v>0</v>
      </c>
      <c r="BN106" s="241">
        <f t="shared" si="167"/>
        <v>0</v>
      </c>
      <c r="BO106" s="241">
        <f t="shared" si="168"/>
        <v>284706</v>
      </c>
      <c r="BP106" s="241">
        <f t="shared" si="169"/>
        <v>0</v>
      </c>
      <c r="BQ106" s="241">
        <f t="shared" si="170"/>
        <v>0</v>
      </c>
      <c r="BR106" s="241">
        <f t="shared" si="171"/>
        <v>0</v>
      </c>
      <c r="BS106" s="241">
        <f t="shared" si="172"/>
        <v>0</v>
      </c>
      <c r="BT106" s="241">
        <f>SUM(BN106:BS106)</f>
        <v>284706</v>
      </c>
      <c r="BV106" s="241">
        <v>284706</v>
      </c>
      <c r="BW106" s="286">
        <f t="shared" si="148"/>
        <v>0</v>
      </c>
    </row>
    <row r="107" spans="1:75" x14ac:dyDescent="0.25">
      <c r="A107" s="201" t="s">
        <v>208</v>
      </c>
      <c r="B107" s="244"/>
      <c r="C107" s="244"/>
      <c r="D107" s="244"/>
      <c r="E107" s="244"/>
      <c r="F107" s="244"/>
      <c r="G107" s="244"/>
      <c r="H107" s="241">
        <f t="shared" si="159"/>
        <v>0</v>
      </c>
      <c r="J107" s="244">
        <f>75396</f>
        <v>75396</v>
      </c>
      <c r="K107" s="244"/>
      <c r="L107" s="244"/>
      <c r="M107" s="244"/>
      <c r="N107" s="244"/>
      <c r="O107" s="244"/>
      <c r="P107" s="241">
        <f t="shared" si="160"/>
        <v>75396</v>
      </c>
      <c r="R107" s="244">
        <v>33960</v>
      </c>
      <c r="S107" s="244"/>
      <c r="T107" s="244"/>
      <c r="U107" s="244"/>
      <c r="V107" s="244"/>
      <c r="W107" s="244"/>
      <c r="X107" s="241">
        <f t="shared" si="161"/>
        <v>33960</v>
      </c>
      <c r="Z107" s="244">
        <v>32960</v>
      </c>
      <c r="AA107" s="244"/>
      <c r="AB107" s="244"/>
      <c r="AC107" s="244"/>
      <c r="AD107" s="244"/>
      <c r="AE107" s="244"/>
      <c r="AF107" s="241">
        <f t="shared" si="162"/>
        <v>32960</v>
      </c>
      <c r="AH107" s="244">
        <v>78000</v>
      </c>
      <c r="AI107" s="244"/>
      <c r="AJ107" s="244"/>
      <c r="AK107" s="244"/>
      <c r="AL107" s="244"/>
      <c r="AM107" s="244"/>
      <c r="AN107" s="241">
        <f t="shared" si="163"/>
        <v>78000</v>
      </c>
      <c r="AP107" s="244"/>
      <c r="AQ107" s="244"/>
      <c r="AR107" s="244"/>
      <c r="AS107" s="244"/>
      <c r="AT107" s="244"/>
      <c r="AU107" s="244"/>
      <c r="AV107" s="241">
        <f t="shared" si="164"/>
        <v>0</v>
      </c>
      <c r="AX107" s="244"/>
      <c r="AY107" s="244"/>
      <c r="AZ107" s="244"/>
      <c r="BA107" s="244"/>
      <c r="BB107" s="244"/>
      <c r="BC107" s="244"/>
      <c r="BD107" s="241">
        <f t="shared" si="165"/>
        <v>0</v>
      </c>
      <c r="BF107" s="244"/>
      <c r="BG107" s="244"/>
      <c r="BH107" s="244"/>
      <c r="BI107" s="244"/>
      <c r="BJ107" s="244"/>
      <c r="BK107" s="244"/>
      <c r="BL107" s="241">
        <f t="shared" si="166"/>
        <v>0</v>
      </c>
      <c r="BN107" s="241">
        <f t="shared" si="167"/>
        <v>220316</v>
      </c>
      <c r="BO107" s="241">
        <f t="shared" si="168"/>
        <v>0</v>
      </c>
      <c r="BP107" s="241">
        <f t="shared" si="169"/>
        <v>0</v>
      </c>
      <c r="BQ107" s="241">
        <f t="shared" si="170"/>
        <v>0</v>
      </c>
      <c r="BR107" s="241">
        <f t="shared" si="171"/>
        <v>0</v>
      </c>
      <c r="BS107" s="241">
        <f t="shared" si="172"/>
        <v>0</v>
      </c>
      <c r="BT107" s="241">
        <f t="shared" ref="BT107:BT108" si="175">SUM(BN107:BS107)</f>
        <v>220316</v>
      </c>
      <c r="BV107" s="241">
        <v>220316</v>
      </c>
      <c r="BW107" s="286">
        <f t="shared" si="148"/>
        <v>0</v>
      </c>
    </row>
    <row r="108" spans="1:75" x14ac:dyDescent="0.25">
      <c r="A108" s="202" t="s">
        <v>242</v>
      </c>
      <c r="B108" s="245">
        <v>31000</v>
      </c>
      <c r="C108" s="245"/>
      <c r="D108" s="245"/>
      <c r="E108" s="245"/>
      <c r="F108" s="245"/>
      <c r="G108" s="245"/>
      <c r="H108" s="241">
        <f t="shared" si="159"/>
        <v>31000</v>
      </c>
      <c r="J108" s="245">
        <f>56650</f>
        <v>56650</v>
      </c>
      <c r="K108" s="245"/>
      <c r="L108" s="245"/>
      <c r="M108" s="245"/>
      <c r="N108" s="245"/>
      <c r="O108" s="245"/>
      <c r="P108" s="241">
        <f t="shared" si="160"/>
        <v>56650</v>
      </c>
      <c r="R108" s="245"/>
      <c r="S108" s="245"/>
      <c r="T108" s="245"/>
      <c r="U108" s="245"/>
      <c r="V108" s="245"/>
      <c r="W108" s="245"/>
      <c r="X108" s="241">
        <f t="shared" si="161"/>
        <v>0</v>
      </c>
      <c r="Z108" s="245">
        <v>61800</v>
      </c>
      <c r="AA108" s="245"/>
      <c r="AB108" s="245"/>
      <c r="AC108" s="245"/>
      <c r="AD108" s="245"/>
      <c r="AE108" s="245"/>
      <c r="AF108" s="241">
        <f t="shared" si="162"/>
        <v>61800</v>
      </c>
      <c r="AH108" s="245">
        <f>63000+51000</f>
        <v>114000</v>
      </c>
      <c r="AI108" s="245"/>
      <c r="AJ108" s="245"/>
      <c r="AK108" s="245"/>
      <c r="AL108" s="245"/>
      <c r="AM108" s="245"/>
      <c r="AN108" s="241">
        <f t="shared" si="163"/>
        <v>114000</v>
      </c>
      <c r="AP108" s="245"/>
      <c r="AQ108" s="245"/>
      <c r="AR108" s="245"/>
      <c r="AS108" s="245"/>
      <c r="AT108" s="245"/>
      <c r="AU108" s="245"/>
      <c r="AV108" s="241">
        <f t="shared" si="164"/>
        <v>0</v>
      </c>
      <c r="AX108" s="245"/>
      <c r="AY108" s="245"/>
      <c r="AZ108" s="245"/>
      <c r="BA108" s="245"/>
      <c r="BB108" s="245"/>
      <c r="BC108" s="245"/>
      <c r="BD108" s="241">
        <f t="shared" si="165"/>
        <v>0</v>
      </c>
      <c r="BF108" s="245"/>
      <c r="BG108" s="245"/>
      <c r="BH108" s="245"/>
      <c r="BI108" s="245"/>
      <c r="BJ108" s="245"/>
      <c r="BK108" s="245"/>
      <c r="BL108" s="241">
        <f t="shared" si="166"/>
        <v>0</v>
      </c>
      <c r="BN108" s="241">
        <f t="shared" si="167"/>
        <v>263450</v>
      </c>
      <c r="BO108" s="241">
        <f t="shared" si="168"/>
        <v>0</v>
      </c>
      <c r="BP108" s="241">
        <f t="shared" si="169"/>
        <v>0</v>
      </c>
      <c r="BQ108" s="241">
        <f t="shared" si="170"/>
        <v>0</v>
      </c>
      <c r="BR108" s="241">
        <f t="shared" si="171"/>
        <v>0</v>
      </c>
      <c r="BS108" s="241">
        <f t="shared" si="172"/>
        <v>0</v>
      </c>
      <c r="BT108" s="241">
        <f t="shared" si="175"/>
        <v>263450</v>
      </c>
      <c r="BV108" s="241">
        <v>263450</v>
      </c>
      <c r="BW108" s="286">
        <f t="shared" si="148"/>
        <v>0</v>
      </c>
    </row>
    <row r="109" spans="1:75" x14ac:dyDescent="0.25">
      <c r="A109" s="207" t="s">
        <v>329</v>
      </c>
      <c r="B109" s="258">
        <f t="shared" ref="B109:H109" si="176">SUM(B93:B108)</f>
        <v>734399.84</v>
      </c>
      <c r="C109" s="258">
        <f t="shared" si="176"/>
        <v>171250</v>
      </c>
      <c r="D109" s="258">
        <f t="shared" si="176"/>
        <v>61920</v>
      </c>
      <c r="E109" s="258">
        <f t="shared" si="176"/>
        <v>0</v>
      </c>
      <c r="F109" s="258">
        <f t="shared" si="176"/>
        <v>0</v>
      </c>
      <c r="G109" s="258">
        <f t="shared" si="176"/>
        <v>0</v>
      </c>
      <c r="H109" s="258">
        <f t="shared" si="176"/>
        <v>967569.84</v>
      </c>
      <c r="J109" s="258">
        <f t="shared" ref="J109:P109" si="177">SUM(J93:J108)</f>
        <v>2708452.0999999996</v>
      </c>
      <c r="K109" s="258">
        <f t="shared" si="177"/>
        <v>255440</v>
      </c>
      <c r="L109" s="258">
        <f t="shared" si="177"/>
        <v>160466.4</v>
      </c>
      <c r="M109" s="258">
        <f t="shared" si="177"/>
        <v>0</v>
      </c>
      <c r="N109" s="258">
        <f t="shared" si="177"/>
        <v>0</v>
      </c>
      <c r="O109" s="258">
        <f t="shared" si="177"/>
        <v>0</v>
      </c>
      <c r="P109" s="258">
        <f t="shared" si="177"/>
        <v>3124358.4999999995</v>
      </c>
      <c r="R109" s="258">
        <f t="shared" ref="R109:X109" si="178">SUM(R93:R108)</f>
        <v>993183.22</v>
      </c>
      <c r="S109" s="258">
        <f t="shared" si="178"/>
        <v>130463</v>
      </c>
      <c r="T109" s="258">
        <f t="shared" si="178"/>
        <v>68200</v>
      </c>
      <c r="U109" s="258">
        <f t="shared" si="178"/>
        <v>0</v>
      </c>
      <c r="V109" s="258">
        <f t="shared" si="178"/>
        <v>0</v>
      </c>
      <c r="W109" s="258">
        <f t="shared" si="178"/>
        <v>0</v>
      </c>
      <c r="X109" s="258">
        <f t="shared" si="178"/>
        <v>1191846.22</v>
      </c>
      <c r="Z109" s="258">
        <f t="shared" ref="Z109:AF109" si="179">SUM(Z93:Z108)</f>
        <v>930820.31</v>
      </c>
      <c r="AA109" s="258">
        <f t="shared" si="179"/>
        <v>184886</v>
      </c>
      <c r="AB109" s="258">
        <f t="shared" si="179"/>
        <v>61920</v>
      </c>
      <c r="AC109" s="258">
        <f t="shared" si="179"/>
        <v>0</v>
      </c>
      <c r="AD109" s="258">
        <f t="shared" si="179"/>
        <v>0</v>
      </c>
      <c r="AE109" s="258">
        <f t="shared" si="179"/>
        <v>0</v>
      </c>
      <c r="AF109" s="258">
        <f t="shared" si="179"/>
        <v>1177626.31</v>
      </c>
      <c r="AH109" s="258">
        <f t="shared" ref="AH109:AN109" si="180">SUM(AH93:AH108)</f>
        <v>2272261</v>
      </c>
      <c r="AI109" s="258">
        <f t="shared" si="180"/>
        <v>94700</v>
      </c>
      <c r="AJ109" s="258">
        <f t="shared" si="180"/>
        <v>95040</v>
      </c>
      <c r="AK109" s="258">
        <f t="shared" si="180"/>
        <v>0</v>
      </c>
      <c r="AL109" s="258">
        <f t="shared" si="180"/>
        <v>0</v>
      </c>
      <c r="AM109" s="258">
        <f t="shared" si="180"/>
        <v>0</v>
      </c>
      <c r="AN109" s="258">
        <f t="shared" si="180"/>
        <v>2462001</v>
      </c>
      <c r="AP109" s="258">
        <f t="shared" ref="AP109:AV109" si="181">SUM(AP93:AP108)</f>
        <v>336490</v>
      </c>
      <c r="AQ109" s="258">
        <f t="shared" si="181"/>
        <v>75000</v>
      </c>
      <c r="AR109" s="258">
        <f t="shared" si="181"/>
        <v>28800</v>
      </c>
      <c r="AS109" s="258">
        <f t="shared" si="181"/>
        <v>0</v>
      </c>
      <c r="AT109" s="258">
        <f t="shared" si="181"/>
        <v>0</v>
      </c>
      <c r="AU109" s="258">
        <f t="shared" si="181"/>
        <v>0</v>
      </c>
      <c r="AV109" s="258">
        <f t="shared" si="181"/>
        <v>440290</v>
      </c>
      <c r="AX109" s="258">
        <f t="shared" ref="AX109:BD109" si="182">SUM(AX93:AX108)</f>
        <v>0</v>
      </c>
      <c r="AY109" s="258">
        <f t="shared" si="182"/>
        <v>0</v>
      </c>
      <c r="AZ109" s="258">
        <f t="shared" si="182"/>
        <v>0</v>
      </c>
      <c r="BA109" s="258">
        <f t="shared" si="182"/>
        <v>0</v>
      </c>
      <c r="BB109" s="258">
        <f t="shared" si="182"/>
        <v>0</v>
      </c>
      <c r="BC109" s="258">
        <f t="shared" si="182"/>
        <v>0</v>
      </c>
      <c r="BD109" s="258">
        <f t="shared" si="182"/>
        <v>0</v>
      </c>
      <c r="BF109" s="258">
        <f t="shared" ref="BF109:BL109" si="183">SUM(BF93:BF108)</f>
        <v>237450</v>
      </c>
      <c r="BG109" s="258">
        <f t="shared" si="183"/>
        <v>0</v>
      </c>
      <c r="BH109" s="258">
        <f t="shared" si="183"/>
        <v>25650</v>
      </c>
      <c r="BI109" s="258">
        <f t="shared" si="183"/>
        <v>0</v>
      </c>
      <c r="BJ109" s="258">
        <f t="shared" si="183"/>
        <v>0</v>
      </c>
      <c r="BK109" s="258">
        <f t="shared" si="183"/>
        <v>0</v>
      </c>
      <c r="BL109" s="258">
        <f t="shared" si="183"/>
        <v>263100</v>
      </c>
      <c r="BN109" s="258">
        <f t="shared" ref="BN109:BT109" si="184">SUM(BN93:BN108)</f>
        <v>8213056.4699999997</v>
      </c>
      <c r="BO109" s="258">
        <f t="shared" si="184"/>
        <v>911739</v>
      </c>
      <c r="BP109" s="258">
        <f t="shared" si="184"/>
        <v>501996.4</v>
      </c>
      <c r="BQ109" s="258">
        <f t="shared" si="184"/>
        <v>0</v>
      </c>
      <c r="BR109" s="258">
        <f t="shared" si="184"/>
        <v>0</v>
      </c>
      <c r="BS109" s="258">
        <f t="shared" si="184"/>
        <v>0</v>
      </c>
      <c r="BT109" s="258">
        <f t="shared" si="184"/>
        <v>9626791.870000001</v>
      </c>
      <c r="BV109" s="258">
        <v>9569291.870000001</v>
      </c>
      <c r="BW109" s="286">
        <f t="shared" si="148"/>
        <v>57500</v>
      </c>
    </row>
    <row r="110" spans="1:75" x14ac:dyDescent="0.25">
      <c r="A110" s="200" t="s">
        <v>243</v>
      </c>
      <c r="B110" s="257">
        <f>B109*0.3675</f>
        <v>269891.9412</v>
      </c>
      <c r="C110" s="257">
        <f t="shared" ref="C110:G110" si="185">C109*0.3675</f>
        <v>62934.375</v>
      </c>
      <c r="D110" s="257">
        <f t="shared" si="185"/>
        <v>22755.599999999999</v>
      </c>
      <c r="E110" s="257">
        <f t="shared" si="185"/>
        <v>0</v>
      </c>
      <c r="F110" s="257">
        <f t="shared" si="185"/>
        <v>0</v>
      </c>
      <c r="G110" s="257">
        <f t="shared" si="185"/>
        <v>0</v>
      </c>
      <c r="H110" s="241">
        <f t="shared" si="159"/>
        <v>355581.91619999998</v>
      </c>
      <c r="J110" s="257">
        <f>J109*0.3675</f>
        <v>995356.14674999984</v>
      </c>
      <c r="K110" s="257">
        <f t="shared" ref="K110:O110" si="186">K109*0.3675</f>
        <v>93874.2</v>
      </c>
      <c r="L110" s="257">
        <f t="shared" si="186"/>
        <v>58971.401999999995</v>
      </c>
      <c r="M110" s="257">
        <f t="shared" si="186"/>
        <v>0</v>
      </c>
      <c r="N110" s="257">
        <f t="shared" si="186"/>
        <v>0</v>
      </c>
      <c r="O110" s="257">
        <f t="shared" si="186"/>
        <v>0</v>
      </c>
      <c r="P110" s="241">
        <f t="shared" si="160"/>
        <v>1148201.7487499998</v>
      </c>
      <c r="R110" s="257">
        <f>R109*0.3675</f>
        <v>364994.83334999997</v>
      </c>
      <c r="S110" s="257">
        <f t="shared" ref="S110:W110" si="187">S109*0.3675</f>
        <v>47945.152499999997</v>
      </c>
      <c r="T110" s="257">
        <f t="shared" si="187"/>
        <v>25063.5</v>
      </c>
      <c r="U110" s="257">
        <f t="shared" si="187"/>
        <v>0</v>
      </c>
      <c r="V110" s="257">
        <f t="shared" si="187"/>
        <v>0</v>
      </c>
      <c r="W110" s="257">
        <f t="shared" si="187"/>
        <v>0</v>
      </c>
      <c r="X110" s="241">
        <f t="shared" si="161"/>
        <v>438003.48584999994</v>
      </c>
      <c r="Z110" s="257">
        <f>(Z109-Z93)*0.3675+(Z93*0.1)</f>
        <v>280509.85162500001</v>
      </c>
      <c r="AA110" s="257">
        <f t="shared" ref="AA110:AE110" si="188">AA109*0.3675</f>
        <v>67945.604999999996</v>
      </c>
      <c r="AB110" s="257">
        <f t="shared" si="188"/>
        <v>22755.599999999999</v>
      </c>
      <c r="AC110" s="257">
        <f t="shared" si="188"/>
        <v>0</v>
      </c>
      <c r="AD110" s="257">
        <f t="shared" si="188"/>
        <v>0</v>
      </c>
      <c r="AE110" s="257">
        <f t="shared" si="188"/>
        <v>0</v>
      </c>
      <c r="AF110" s="241">
        <f t="shared" si="162"/>
        <v>371211.05662499997</v>
      </c>
      <c r="AH110" s="257">
        <f>AH109*0.3675</f>
        <v>835055.91749999998</v>
      </c>
      <c r="AI110" s="257">
        <f t="shared" ref="AI110:AM110" si="189">AI109*0.3675</f>
        <v>34802.25</v>
      </c>
      <c r="AJ110" s="257">
        <f t="shared" si="189"/>
        <v>34927.199999999997</v>
      </c>
      <c r="AK110" s="257">
        <f t="shared" si="189"/>
        <v>0</v>
      </c>
      <c r="AL110" s="257">
        <f t="shared" si="189"/>
        <v>0</v>
      </c>
      <c r="AM110" s="257">
        <f t="shared" si="189"/>
        <v>0</v>
      </c>
      <c r="AN110" s="241">
        <f t="shared" si="163"/>
        <v>904785.36749999993</v>
      </c>
      <c r="AP110" s="257">
        <f>(AP109)*0.3675</f>
        <v>123660.075</v>
      </c>
      <c r="AQ110" s="257">
        <f t="shared" ref="AQ110:AU110" si="190">AQ109*0.3675</f>
        <v>27562.5</v>
      </c>
      <c r="AR110" s="257">
        <f t="shared" si="190"/>
        <v>10584</v>
      </c>
      <c r="AS110" s="257">
        <f t="shared" si="190"/>
        <v>0</v>
      </c>
      <c r="AT110" s="257">
        <f t="shared" si="190"/>
        <v>0</v>
      </c>
      <c r="AU110" s="257">
        <f t="shared" si="190"/>
        <v>0</v>
      </c>
      <c r="AV110" s="241">
        <f t="shared" si="164"/>
        <v>161806.57500000001</v>
      </c>
      <c r="AX110" s="257">
        <f>(AX109-AX93)*0.3675+(AX93*0.1)</f>
        <v>0</v>
      </c>
      <c r="AY110" s="257">
        <f t="shared" ref="AY110:BC110" si="191">AY109*0.3675</f>
        <v>0</v>
      </c>
      <c r="AZ110" s="257">
        <f t="shared" si="191"/>
        <v>0</v>
      </c>
      <c r="BA110" s="257">
        <f t="shared" si="191"/>
        <v>0</v>
      </c>
      <c r="BB110" s="257">
        <f t="shared" si="191"/>
        <v>0</v>
      </c>
      <c r="BC110" s="257">
        <f t="shared" si="191"/>
        <v>0</v>
      </c>
      <c r="BD110" s="241">
        <f t="shared" si="165"/>
        <v>0</v>
      </c>
      <c r="BF110" s="241">
        <f>BF109*0.3675</f>
        <v>87262.875</v>
      </c>
      <c r="BG110" s="241">
        <f t="shared" ref="BG110:BK110" si="192">BG109*0.3675</f>
        <v>0</v>
      </c>
      <c r="BH110" s="241">
        <f t="shared" si="192"/>
        <v>9426.375</v>
      </c>
      <c r="BI110" s="241">
        <f t="shared" si="192"/>
        <v>0</v>
      </c>
      <c r="BJ110" s="241">
        <f t="shared" si="192"/>
        <v>0</v>
      </c>
      <c r="BK110" s="241">
        <f t="shared" si="192"/>
        <v>0</v>
      </c>
      <c r="BL110" s="241">
        <f t="shared" si="166"/>
        <v>96689.25</v>
      </c>
      <c r="BN110" s="241">
        <f>B110+J110+R110+Z110+AH110+AP110+AX110+BF110</f>
        <v>2956731.6404249999</v>
      </c>
      <c r="BO110" s="241">
        <f t="shared" ref="BO110:BS110" si="193">C110+K110+S110+AA110+AI110+AQ110+AY110+BG110</f>
        <v>335064.08250000002</v>
      </c>
      <c r="BP110" s="241">
        <f t="shared" si="193"/>
        <v>184483.67699999997</v>
      </c>
      <c r="BQ110" s="241">
        <f t="shared" si="193"/>
        <v>0</v>
      </c>
      <c r="BR110" s="241">
        <f t="shared" si="193"/>
        <v>0</v>
      </c>
      <c r="BS110" s="241">
        <f t="shared" si="193"/>
        <v>0</v>
      </c>
      <c r="BT110" s="241">
        <f t="shared" ref="BT110:BT115" si="194">SUM(BN110:BS110)</f>
        <v>3476279.399925</v>
      </c>
      <c r="BV110" s="241">
        <v>3455148.1499249996</v>
      </c>
      <c r="BW110" s="286">
        <f t="shared" si="148"/>
        <v>21131.250000000466</v>
      </c>
    </row>
    <row r="111" spans="1:75" x14ac:dyDescent="0.25">
      <c r="A111" s="201" t="s">
        <v>244</v>
      </c>
      <c r="B111" s="242">
        <f>(((7600*(B64*0.8))+((190*(B64*0.85))+((70*(B64*0.825))+(B64*50)+(B109*0.015)+(B109*0.03)))))</f>
        <v>115588.24279999999</v>
      </c>
      <c r="C111" s="242">
        <f>(((7600*(C64*0.8))+((190*(C64*0.85))+((70*(C64*0.825))+(C64*50)+(C109*0.015)+(C109*0.03)))))</f>
        <v>14055.5</v>
      </c>
      <c r="D111" s="242">
        <f>(((7600*(D64*0.8))+((190*(D64*0.85))+((70*(D64*0.825))+(D64*50)+(D109*0.015)+(D109*0.03)))))*0.5</f>
        <v>7742.45</v>
      </c>
      <c r="E111" s="242">
        <f t="shared" ref="E111:G111" si="195">(((7600*(E64*0.8))+((190*(E64*0.85))+((70*(E64*0.825))+(E64*50)+(E109*0.015)+(E109*0.03)))))</f>
        <v>0</v>
      </c>
      <c r="F111" s="242">
        <f t="shared" si="195"/>
        <v>0</v>
      </c>
      <c r="G111" s="242">
        <f t="shared" si="195"/>
        <v>0</v>
      </c>
      <c r="H111" s="241">
        <f t="shared" si="159"/>
        <v>137386.19279999999</v>
      </c>
      <c r="J111" s="242">
        <f>(((7600*(J64*0.8))+((190*(J64*0.85))+((70*(J64*0.825))+(J64*50)+(J109*0.015)+(J109*0.03)))))</f>
        <v>388548.84450000001</v>
      </c>
      <c r="K111" s="242">
        <f>(((7600*(K64*0.8))+((190*(K64*0.85))+((70*(K64*0.825))+(K64*50)+(K109*0.015)+(K109*0.03)))))</f>
        <v>30542.550000000003</v>
      </c>
      <c r="L111" s="242">
        <f>(((7600*(L64*0.8))+((190*(L64*0.85))+((70*(L64*0.825))+(L64*50)+(L109*0.015)+(L109*0.03)))))*0.75</f>
        <v>33987.366000000002</v>
      </c>
      <c r="M111" s="242">
        <f t="shared" ref="M111:O111" si="196">(((7600*(M64*0.8))+((190*(M64*0.85))+((70*(M64*0.825))+(M64*50)+(M109*0.015)+(M109*0.03)))))</f>
        <v>0</v>
      </c>
      <c r="N111" s="242">
        <f t="shared" si="196"/>
        <v>0</v>
      </c>
      <c r="O111" s="242">
        <f t="shared" si="196"/>
        <v>0</v>
      </c>
      <c r="P111" s="241">
        <f t="shared" si="160"/>
        <v>453078.76049999997</v>
      </c>
      <c r="R111" s="242">
        <f>(((7600*(R64*0.8))+((190*(R64*0.85))+((70*(R64*0.825))+(R64*50)+(R109*0.015)+(R109*0.03)))))</f>
        <v>143106.61989999999</v>
      </c>
      <c r="S111" s="242">
        <f>(((7600*(S64*0.8))+((190*(S64*0.85))+((70*(S64*0.825))+(S64*50)+(S109*0.015)+(S109*0.03)))))</f>
        <v>15394.710000000001</v>
      </c>
      <c r="T111" s="242">
        <f>(((7600*(T64*0.8))+((190*(T64*0.85))+((70*(T64*0.825))+(T64*50)+(T109*0.015)+(T109*0.03)))))*0.8</f>
        <v>12614</v>
      </c>
      <c r="U111" s="242">
        <f t="shared" ref="U111:W111" si="197">(((7600*(U64*0.8))+((190*(U64*0.85))+((70*(U64*0.825))+(U64*50)+(U109*0.015)+(U109*0.03)))))</f>
        <v>0</v>
      </c>
      <c r="V111" s="242">
        <f t="shared" si="197"/>
        <v>0</v>
      </c>
      <c r="W111" s="242">
        <f t="shared" si="197"/>
        <v>0</v>
      </c>
      <c r="X111" s="241">
        <f t="shared" si="161"/>
        <v>171115.32989999998</v>
      </c>
      <c r="Z111" s="242">
        <f>(((7600*(Z64*0.8))+((190*(Z64*0.85))+((70*(Z64*0.825))+(Z64*50)+(Z109*0.015)+(Z109*0.03)))))</f>
        <v>127601.78895</v>
      </c>
      <c r="AA111" s="242">
        <f>(((7600*(AA64*0.8))+((190*(AA64*0.85))+((70*(AA64*0.825))+(AA64*50)+(AA109*0.015)+(AA109*0.03)))))</f>
        <v>26288.247500000001</v>
      </c>
      <c r="AB111" s="242">
        <f>(((7600*(AB64*0.8))+((190*(AB64*0.85))+((70*(AB64*0.825))+(AB64*50)+(AB109*0.015)+(AB109*0.03)))))*0.8</f>
        <v>12387.92</v>
      </c>
      <c r="AC111" s="242">
        <f t="shared" ref="AC111:AE111" si="198">(((7600*(AC64*0.8))+((190*(AC64*0.85))+((70*(AC64*0.825))+(AC64*50)+(AC109*0.015)+(AC109*0.03)))))</f>
        <v>0</v>
      </c>
      <c r="AD111" s="242">
        <f t="shared" si="198"/>
        <v>0</v>
      </c>
      <c r="AE111" s="242">
        <f t="shared" si="198"/>
        <v>0</v>
      </c>
      <c r="AF111" s="241">
        <f t="shared" si="162"/>
        <v>166277.95645000003</v>
      </c>
      <c r="AH111" s="242">
        <f>(((7600*(AH64*0.8))+((190*(AH64*0.85))+((70*(AH64*0.825))+(AH64*50)+(AH109*0.015)+(AH109*0.03)))))</f>
        <v>356221.745</v>
      </c>
      <c r="AI111" s="242">
        <f>(((7600*(AI64*0.8))+((190*(AI64*0.85))+((70*(AI64*0.825))+(AI64*50)+(AI109*0.015)+(AI109*0.03)))))</f>
        <v>13785.375000000002</v>
      </c>
      <c r="AJ111" s="242">
        <f>(((7600*(AJ64*0.8))+((190*(AJ64*0.85))+((70*(AJ64*0.825))+(AJ64*50)+(AJ109*0.015)+(AJ109*0.03)))))*0.8</f>
        <v>23739.040000000001</v>
      </c>
      <c r="AK111" s="242">
        <f t="shared" ref="AK111:AM111" si="199">(((7600*(AK64*0.8))+((190*(AK64*0.85))+((70*(AK64*0.825))+(AK64*50)+(AK109*0.015)+(AK109*0.03)))))</f>
        <v>0</v>
      </c>
      <c r="AL111" s="242">
        <f t="shared" si="199"/>
        <v>0</v>
      </c>
      <c r="AM111" s="242">
        <f t="shared" si="199"/>
        <v>0</v>
      </c>
      <c r="AN111" s="241">
        <f t="shared" si="163"/>
        <v>393746.16</v>
      </c>
      <c r="AP111" s="242">
        <f>(((7600*(AP64*0.8))+((190*(AP64*0.85))+((70*(AP64*0.825))+(AP64*50)+(AP109*0.015)+(AP109*0.03)))))</f>
        <v>50062.925000000003</v>
      </c>
      <c r="AQ111" s="242">
        <f>(((7600*(AQ64*0.8))+((190*(AQ64*0.85))+((70*(AQ64*0.825))+(AQ64*50)+(AQ109*0.015)+(AQ109*0.03)))))</f>
        <v>9724.25</v>
      </c>
      <c r="AR111" s="242">
        <f t="shared" ref="AR111:AU111" si="200">(((7600*(AR64*0.8))+((190*(AR64*0.85))+((70*(AR64*0.825))+(AR64*50)+(AR109*0.015)+(AR109*0.03)))))</f>
        <v>7645.25</v>
      </c>
      <c r="AS111" s="242">
        <f t="shared" si="200"/>
        <v>0</v>
      </c>
      <c r="AT111" s="242">
        <f t="shared" si="200"/>
        <v>0</v>
      </c>
      <c r="AU111" s="242">
        <f t="shared" si="200"/>
        <v>0</v>
      </c>
      <c r="AV111" s="241">
        <f t="shared" si="164"/>
        <v>67432.425000000003</v>
      </c>
      <c r="AX111" s="242">
        <f>(((7600*(AX64*0.8))+((190*(AX64*0.85))+((70*(AX64*0.825))+(AX64*50)+(AX109*0.015)+(AX109*0.03)))))</f>
        <v>0</v>
      </c>
      <c r="AY111" s="242">
        <f>(((7600*(AY64*0.8))+((190*(AY64*0.85))+((70*(AY64*0.825))+(AY64*50)+(AY109*0.015)+(AY109*0.03)))))</f>
        <v>0</v>
      </c>
      <c r="AZ111" s="242">
        <f t="shared" ref="AZ111:BC111" si="201">(((7600*(AZ64*0.8))+((190*(AZ64*0.85))+((70*(AZ64*0.825))+(AZ64*50)+(AZ109*0.015)+(AZ109*0.03)))))</f>
        <v>0</v>
      </c>
      <c r="BA111" s="242">
        <f t="shared" si="201"/>
        <v>0</v>
      </c>
      <c r="BB111" s="242">
        <f t="shared" si="201"/>
        <v>0</v>
      </c>
      <c r="BC111" s="242">
        <f t="shared" si="201"/>
        <v>0</v>
      </c>
      <c r="BD111" s="241">
        <f t="shared" si="165"/>
        <v>0</v>
      </c>
      <c r="BF111" s="242">
        <f>BF109*0.175</f>
        <v>41553.75</v>
      </c>
      <c r="BG111" s="242">
        <f t="shared" ref="BG111:BK111" si="202">BG109*0.175</f>
        <v>0</v>
      </c>
      <c r="BH111" s="242">
        <f>BH109*0.1</f>
        <v>2565</v>
      </c>
      <c r="BI111" s="242">
        <f t="shared" si="202"/>
        <v>0</v>
      </c>
      <c r="BJ111" s="242">
        <f t="shared" si="202"/>
        <v>0</v>
      </c>
      <c r="BK111" s="242">
        <f t="shared" si="202"/>
        <v>0</v>
      </c>
      <c r="BL111" s="241">
        <f t="shared" si="166"/>
        <v>44118.75</v>
      </c>
      <c r="BN111" s="241">
        <f t="shared" ref="BN111:BN115" si="203">B111+J111+R111+Z111+AH111+AP111+AX111+BF111</f>
        <v>1222683.9161500002</v>
      </c>
      <c r="BO111" s="241">
        <f t="shared" ref="BO111:BO115" si="204">C111+K111+S111+AA111+AI111+AQ111+AY111+BG111</f>
        <v>109790.63250000001</v>
      </c>
      <c r="BP111" s="241">
        <f t="shared" ref="BP111:BP115" si="205">D111+L111+T111+AB111+AJ111+AR111+AZ111+BH111</f>
        <v>100681.02600000001</v>
      </c>
      <c r="BQ111" s="241">
        <f t="shared" ref="BQ111:BQ115" si="206">E111+M111+U111+AC111+AK111+AS111+BA111+BI111</f>
        <v>0</v>
      </c>
      <c r="BR111" s="241">
        <f t="shared" ref="BR111:BR115" si="207">F111+N111+V111+AD111+AL111+AT111+BB111+BJ111</f>
        <v>0</v>
      </c>
      <c r="BS111" s="241">
        <f t="shared" ref="BS111:BS115" si="208">G111+O111+W111+AE111+AM111+AU111+BC111+BK111</f>
        <v>0</v>
      </c>
      <c r="BT111" s="241">
        <f t="shared" si="194"/>
        <v>1433155.5746500003</v>
      </c>
      <c r="BV111" s="241">
        <v>1423958.8246500001</v>
      </c>
      <c r="BW111" s="286">
        <f t="shared" si="148"/>
        <v>9196.7500000002328</v>
      </c>
    </row>
    <row r="112" spans="1:75" x14ac:dyDescent="0.25">
      <c r="A112" s="201" t="s">
        <v>245</v>
      </c>
      <c r="B112" s="242">
        <f>(2500*B39)+(2000*B40)+((1500*(B42+B44+B45))+((1250*(B46+B47+B53))+((1250*(B57+B58+B60))+((500*(B52+B51+B49+B48))))))+(1000*5)</f>
        <v>19750</v>
      </c>
      <c r="C112" s="242">
        <f>(2500*C39)+(2000*C40)+((1500*(C42+C44+C45))+((1250*(C46+C47+C53))+((1250*(C57+C58+C60))+((500*(C52+C51+C49+C48))))))</f>
        <v>0</v>
      </c>
      <c r="D112" s="242">
        <f>(2500*D39)+(2000*D40)+((1500*(D42+D44+D45))+((1250*(D46+D47+D53))+((1250*(D57+D58+D60))+((500*(D52+D51+D49+D48))))))</f>
        <v>1000</v>
      </c>
      <c r="E112" s="242">
        <f>(2500*E39)+(2000*E40)+((1500*(E42+E44+E45))+((1250*(E46+E47+E53))+((1250*(E57+E58+E60))+((500*(E52+E51+E49+E48))))))</f>
        <v>0</v>
      </c>
      <c r="F112" s="242">
        <f t="shared" ref="F112:G112" si="209">(2500*F39)+(2000*F40)+((1500*(F42+F44+F45))+((1250*(F46+F47+F53))+((1250*(F57+F58+F60))+((500*(F52+F51+F49+F48))))))</f>
        <v>0</v>
      </c>
      <c r="G112" s="242">
        <f t="shared" si="209"/>
        <v>0</v>
      </c>
      <c r="H112" s="241">
        <f t="shared" si="159"/>
        <v>20750</v>
      </c>
      <c r="J112" s="242">
        <f>(2500*J39)+(2000*J40)+((1500*(J42+J44+J45))+((1250*(J46+J47+J53))+((1250*(J57+J58+J60))+((500*(J52+J51+J49+J48))))))+(1000*25)</f>
        <v>71500</v>
      </c>
      <c r="K112" s="242">
        <f>(2500*K39)+(2000*K40)+((1500*(K42+K44+K45))+((1250*(K46+K47+K53))+((1250*(K57+K58+K60))+((500*(K52+K51+K49+K48))))))</f>
        <v>0</v>
      </c>
      <c r="L112" s="242">
        <f>(2500*L39)+(2000*L40)+((1500*(L42+L44+L45))+((1250*(L46+L47+L53))+((1250*(L57+L58+L60))+((500*(L52+L51+L49+L48))))))</f>
        <v>3000</v>
      </c>
      <c r="M112" s="242">
        <f>(2500*M39)+(2000*M40)+((1500*(M42+M44+M45))+((1250*(M46+M47+M53))+((1250*(M57+M58+M60))+((500*(M52+M51+M49+M48))))))</f>
        <v>0</v>
      </c>
      <c r="N112" s="242">
        <f t="shared" ref="N112:O112" si="210">(2500*N39)+(2000*N40)+((1500*(N42+N44+N45))+((1250*(N46+N47+N53))+((1250*(N57+N58+N60))+((500*(N52+N51+N49+N48))))))</f>
        <v>0</v>
      </c>
      <c r="O112" s="242">
        <f t="shared" si="210"/>
        <v>0</v>
      </c>
      <c r="P112" s="241">
        <f t="shared" si="160"/>
        <v>74500</v>
      </c>
      <c r="R112" s="242">
        <f>(2500*R39)+(2000*R40)+((1500*(R42+R44+R45))+((1250*(R46+R47+R53))+((1250*(R57+R58+R60))+((500*(R52+R51+R49+R48))))))+(1000*10)</f>
        <v>27375</v>
      </c>
      <c r="S112" s="242">
        <f>(2500*S39)+(2000*S40)+((1500*(S42+S44+S45))+((1250*(S46+S47+S53))+((1250*(S57+S58+S60))+((500*(S52+S51+S49+S48))))))</f>
        <v>0</v>
      </c>
      <c r="T112" s="242">
        <f>(2500*T39)+(2000*T40)+((1500*(T42+T44+T45))+((1250*(T46+T47+T53))+((1250*(T57+T58+T60))+((500*(T52+T51+T49+T48))))))</f>
        <v>1000</v>
      </c>
      <c r="U112" s="242">
        <f>(2500*U39)+(2000*U40)+((1500*(U42+U44+U45))+((1250*(U46+U47+U53))+((1250*(U57+U58+U60))+((500*(U52+U51+U49+U48))))))</f>
        <v>0</v>
      </c>
      <c r="V112" s="242">
        <f t="shared" ref="V112:W112" si="211">(2500*V39)+(2000*V40)+((1500*(V42+V44+V45))+((1250*(V46+V47+V53))+((1250*(V57+V58+V60))+((500*(V52+V51+V49+V48))))))</f>
        <v>0</v>
      </c>
      <c r="W112" s="242">
        <f t="shared" si="211"/>
        <v>0</v>
      </c>
      <c r="X112" s="241">
        <f t="shared" si="161"/>
        <v>28375</v>
      </c>
      <c r="Z112" s="242">
        <f>(2500*Z39)+(2000*Z40)+((1500*(Z42+Z44+Z45))+((1250*(Z46+Z47+Z53))+((1250*(Z57+Z58+Z60))+((500*(Z52+Z51+Z49+Z48))))))+(1000*18)</f>
        <v>31375</v>
      </c>
      <c r="AA112" s="242">
        <f>(2500*AA39)+(2000*AA40)+((1500*(AA42+AA44+AA45))+((1250*(AA46+AA47+AA53))+((1250*(AA57+AA58+AA60))+((500*(AA52+AA51+AA49+AA48))))))</f>
        <v>412.5</v>
      </c>
      <c r="AB112" s="242">
        <f>(2500*AB39)+(2000*AB40)+((1500*(AB42+AB44+AB45))+((1250*(AB46+AB47+AB53))+((1250*(AB57+AB58+AB60))+((500*(AB52+AB51+AB49+AB48))))))</f>
        <v>1000</v>
      </c>
      <c r="AC112" s="242">
        <f>(2500*AC39)+(2000*AC40)+((1500*(AC42+AC44+AC45))+((1250*(AC46+AC47+AC53))+((1250*(AC57+AC58+AC60))+((500*(AC52+AC51+AC49+AC48))))))</f>
        <v>0</v>
      </c>
      <c r="AD112" s="242">
        <f t="shared" ref="AD112:AE112" si="212">(2500*AD39)+(2000*AD40)+((1500*(AD42+AD44+AD45))+((1250*(AD46+AD47+AD53))+((1250*(AD57+AD58+AD60))+((500*(AD52+AD51+AD49+AD48))))))</f>
        <v>0</v>
      </c>
      <c r="AE112" s="242">
        <f t="shared" si="212"/>
        <v>0</v>
      </c>
      <c r="AF112" s="241">
        <f t="shared" si="162"/>
        <v>32787.5</v>
      </c>
      <c r="AH112" s="242">
        <f>(2500*AH39)+(2000*AH40)+((1500*(AH42+AH44+AH45))+((1250*(AH46+AH47+AH53))+((1250*(AH57+AH58+AH60))+((500*(AH52+AH51+AH49+AH48))))))+(1000*25)</f>
        <v>64000</v>
      </c>
      <c r="AI112" s="242">
        <f>(2500*AI39)+(2000*AI40)+((1500*(AI42+AI44+AI45))+((1250*(AI46+AI47+AI53))+((1250*(AI57+AI58+AI60))+((500*(AI52+AI51+AI49+AI48))))))</f>
        <v>625</v>
      </c>
      <c r="AJ112" s="242">
        <f>(2500*AJ39)+(2000*AJ40)+((1500*(AJ42+AJ44+AJ45))+((1250*(AJ46+AJ47+AJ53))+((1250*(AJ57+AJ58+AJ60))+((500*(AJ52+AJ51+AJ49+AJ48))))))</f>
        <v>2000</v>
      </c>
      <c r="AK112" s="242">
        <f>(2500*AK39)+(2000*AK40)+((1500*(AK42+AK44+AK45))+((1250*(AK46+AK47+AK53))+((1250*(AK57+AK58+AK60))+((500*(AK52+AK51+AK49+AK48))))))</f>
        <v>0</v>
      </c>
      <c r="AL112" s="242">
        <f t="shared" ref="AL112:AM112" si="213">(2500*AL39)+(2000*AL40)+((1500*(AL42+AL44+AL45))+((1250*(AL46+AL47+AL53))+((1250*(AL57+AL58+AL60))+((500*(AL52+AL51+AL49+AL48))))))</f>
        <v>0</v>
      </c>
      <c r="AM112" s="242">
        <f t="shared" si="213"/>
        <v>0</v>
      </c>
      <c r="AN112" s="241">
        <f t="shared" si="163"/>
        <v>66625</v>
      </c>
      <c r="AP112" s="242">
        <f>(2500*AP39)+(2000*AP40)+((1500*(AP42+AP44+AP45))+((1250*(AP46+AP47+AP53))+((1250*(AP57+AP58+AP60))+((500*(AP52+AP51+AP49+AP48))))))+(1000*3)</f>
        <v>8500</v>
      </c>
      <c r="AQ112" s="242">
        <f>(2500*AQ39)+(2000*AQ40)+((1500*(AQ42+AQ44+AQ45))+((1250*(AQ46+AQ47+AQ53))+((1250*(AQ57+AQ58+AQ60))+((500*(AQ52+AQ51+AQ49+AQ48))))))</f>
        <v>0</v>
      </c>
      <c r="AR112" s="242">
        <f>(2500*AR39)+(2000*AR40)+((1500*(AR42+AR44+AR45))+((1250*(AR46+AR47+AR53))+((1250*(AR57+AR58+AR60))+((500*(AR52+AR51+AR49+AR48))))))</f>
        <v>500</v>
      </c>
      <c r="AS112" s="242">
        <f>(2500*AS39)+(2000*AS40)+((1500*(AS42+AS44+AS45))+((1250*(AS46+AS47+AS53))+((1250*(AS57+AS58+AS60))+((500*(AS52+AS51+AS49+AS48))))))</f>
        <v>0</v>
      </c>
      <c r="AT112" s="242">
        <f t="shared" ref="AT112:AU112" si="214">(2500*AT39)+(2000*AT40)+((1500*(AT42+AT44+AT45))+((1250*(AT46+AT47+AT53))+((1250*(AT57+AT58+AT60))+((500*(AT52+AT51+AT49+AT48))))))</f>
        <v>0</v>
      </c>
      <c r="AU112" s="242">
        <f t="shared" si="214"/>
        <v>0</v>
      </c>
      <c r="AV112" s="241">
        <f t="shared" si="164"/>
        <v>9000</v>
      </c>
      <c r="AX112" s="242">
        <f>(2500*AX39)+(2000*AX40)+((1500*(AX42+AX44+AX45))+((1250*(AX46+AX47+AX53))+((1250*(AX57+AX58+AX60))+((500*(AX52+AX51+AX49+AX48))))))</f>
        <v>0</v>
      </c>
      <c r="AY112" s="242">
        <f>(2500*AY39)+(2000*AY40)+((1500*(AY42+AY44+AY45))+((1250*(AY46+AY47+AY53))+((1250*(AY57+AY58+AY60))+((500*(AY52+AY51+AY49+AY48))))))</f>
        <v>0</v>
      </c>
      <c r="AZ112" s="242">
        <f>(2500*AZ39)+(2000*AZ40)+((1500*(AZ42+AZ44+AZ45))+((1250*(AZ46+AZ47+AZ53))+((1250*(AZ57+AZ58+AZ60))+((500*(AZ52+AZ51+AZ49+AZ48))))))</f>
        <v>0</v>
      </c>
      <c r="BA112" s="242">
        <f>(2500*BA39)+(2000*BA40)+((1500*(BA42+BA44+BA45))+((1250*(BA46+BA47+BA53))+((1250*(BA57+BA58+BA60))+((500*(BA52+BA51+BA49+BA48))))))</f>
        <v>0</v>
      </c>
      <c r="BB112" s="242">
        <f t="shared" ref="BB112:BC112" si="215">(2500*BB39)+(2000*BB40)+((1500*(BB42+BB44+BB45))+((1250*(BB46+BB47+BB53))+((1250*(BB57+BB58+BB60))+((500*(BB52+BB51+BB49+BB48))))))</f>
        <v>0</v>
      </c>
      <c r="BC112" s="242">
        <f t="shared" si="215"/>
        <v>0</v>
      </c>
      <c r="BD112" s="241">
        <f t="shared" si="165"/>
        <v>0</v>
      </c>
      <c r="BF112" s="242">
        <f>(2500*BF39)+(2000*BF40)+((1500*(BF42+BF44+BF45))+((1250*(BF46+BF47+BF53))+((1250*(BF57+BF58+BF60))+((500*(BF52+BF51+BF49+BF48))))))+(1000*1)</f>
        <v>4750</v>
      </c>
      <c r="BG112" s="242">
        <f>(2500*BG39)+(2000*BG40)+((1500*(BG42+BG44+BG45))+((1250*(BG46+BG47+BG53))+((1250*(BG57+BG58+BG60))+((500*(BG52+BG51+BG49+BG48))))))</f>
        <v>0</v>
      </c>
      <c r="BH112" s="242">
        <f>(2500*BH39)+(2000*BH40)+((1500*(BH42+BH44+BH45))+((1250*(BH46+BH47+BH53))+((1250*(BH57+BH58+BH60))+((500*(BH52+BH51+BH49+BH48))))))</f>
        <v>500</v>
      </c>
      <c r="BI112" s="242">
        <f>(2500*BI39)+(2000*BI40)+((1500*(BI42+BI44+BI45))+((1250*(BI46+BI47+BI53))+((1250*(BI57+BI58+BI60))+((500*(BI52+BI51+BI49+BI48))))))</f>
        <v>0</v>
      </c>
      <c r="BJ112" s="242">
        <f t="shared" ref="BJ112:BK112" si="216">(2500*BJ39)+(2000*BJ40)+((1500*(BJ42+BJ44+BJ45))+((1250*(BJ46+BJ47+BJ53))+((1250*(BJ57+BJ58+BJ60))+((500*(BJ52+BJ51+BJ49+BJ48))))))</f>
        <v>0</v>
      </c>
      <c r="BK112" s="242">
        <f t="shared" si="216"/>
        <v>0</v>
      </c>
      <c r="BL112" s="241">
        <f t="shared" si="166"/>
        <v>5250</v>
      </c>
      <c r="BN112" s="241">
        <f t="shared" si="203"/>
        <v>227250</v>
      </c>
      <c r="BO112" s="241">
        <f t="shared" si="204"/>
        <v>1037.5</v>
      </c>
      <c r="BP112" s="241">
        <f t="shared" si="205"/>
        <v>9000</v>
      </c>
      <c r="BQ112" s="241">
        <f t="shared" si="206"/>
        <v>0</v>
      </c>
      <c r="BR112" s="241">
        <f t="shared" si="207"/>
        <v>0</v>
      </c>
      <c r="BS112" s="241">
        <f t="shared" si="208"/>
        <v>0</v>
      </c>
      <c r="BT112" s="241">
        <f t="shared" si="194"/>
        <v>237287.5</v>
      </c>
      <c r="BV112" s="241">
        <v>154787.5</v>
      </c>
      <c r="BW112" s="286">
        <f t="shared" si="148"/>
        <v>82500</v>
      </c>
    </row>
    <row r="113" spans="1:75" x14ac:dyDescent="0.25">
      <c r="A113" s="201" t="s">
        <v>246</v>
      </c>
      <c r="B113" s="242">
        <f>(500*B39)+(250*B40)+((175*(B42+B44+B45))+((175*(B46+B47+B53))+((175*(B57+B58+B60))+((75*(B52+B51+B49+B48))))))*1.09+(175*5)</f>
        <v>3106</v>
      </c>
      <c r="C113" s="242">
        <f>(500*C39)+(250*C40)+((175*(C42+C44+C45))+((175*(C46+C47+C53))+((175*(C57+C58+C60))+((75*(C52+C51+C49+C48))))))*1.09</f>
        <v>0</v>
      </c>
      <c r="D113" s="242">
        <f t="shared" ref="D113:G113" si="217">(500*D39)+(250*D40)+((175*(D42+D44+D45))+((175*(D46+D47+D53))+((175*(D57+D58+D60))+((75*(D52+D51+D49+D48))))))*1.09</f>
        <v>163.5</v>
      </c>
      <c r="E113" s="242">
        <f t="shared" si="217"/>
        <v>0</v>
      </c>
      <c r="F113" s="242">
        <f t="shared" si="217"/>
        <v>0</v>
      </c>
      <c r="G113" s="242">
        <f t="shared" si="217"/>
        <v>0</v>
      </c>
      <c r="H113" s="241">
        <f t="shared" si="159"/>
        <v>3269.5</v>
      </c>
      <c r="J113" s="242">
        <f>(500*J39)+(250*J40)+((175*(J42+J44+J45))+((175*(J46+J47+J53))+((175*(J57+J58+J60))+((75*(J52+J51+J49+J48))))))*1.09+(175*20)</f>
        <v>10078</v>
      </c>
      <c r="K113" s="242">
        <f>(500*K39)+(250*K40)+((175*(K42+K44+K45))+((175*(K46+K47+K53))+((175*(K57+K58+K60))+((75*(K52+K51+K49+K48))))))*1.09</f>
        <v>0</v>
      </c>
      <c r="L113" s="242">
        <f t="shared" ref="L113:O113" si="218">(500*L39)+(250*L40)+((175*(L42+L44+L45))+((175*(L46+L47+L53))+((175*(L57+L58+L60))+((75*(L52+L51+L49+L48))))))*1.09</f>
        <v>490.50000000000006</v>
      </c>
      <c r="M113" s="242">
        <f t="shared" si="218"/>
        <v>0</v>
      </c>
      <c r="N113" s="242">
        <f t="shared" si="218"/>
        <v>0</v>
      </c>
      <c r="O113" s="242">
        <f t="shared" si="218"/>
        <v>0</v>
      </c>
      <c r="P113" s="241">
        <f t="shared" si="160"/>
        <v>10568.5</v>
      </c>
      <c r="R113" s="242">
        <f>(500*R39)+(250*R40)+((175*(R42+R44+R45))+((175*(R46+R47+R53))+((175*(R57+R58+R60))+((75*(R52+R51+R49+R48))))))*1.09+(175*15)</f>
        <v>5223.875</v>
      </c>
      <c r="S113" s="242">
        <f>(500*S39)+(250*S40)+((175*(S42+S44+S45))+((175*(S46+S47+S53))+((175*(S57+S58+S60))+((75*(S52+S51+S49+S48))))))*1.09</f>
        <v>0</v>
      </c>
      <c r="T113" s="242">
        <f t="shared" ref="T113:W113" si="219">(500*T39)+(250*T40)+((175*(T42+T44+T45))+((175*(T46+T47+T53))+((175*(T57+T58+T60))+((75*(T52+T51+T49+T48))))))*1.09</f>
        <v>163.5</v>
      </c>
      <c r="U113" s="242">
        <f t="shared" si="219"/>
        <v>0</v>
      </c>
      <c r="V113" s="242">
        <f t="shared" si="219"/>
        <v>0</v>
      </c>
      <c r="W113" s="242">
        <f t="shared" si="219"/>
        <v>0</v>
      </c>
      <c r="X113" s="241">
        <f t="shared" si="161"/>
        <v>5387.375</v>
      </c>
      <c r="Z113" s="242">
        <f>(500*Z39)+(250*Z40)+((175*(Z42+Z44+Z45))+((175*(Z46+Z47+Z53))+((175*(Z57+Z58+Z60))+((75*(Z52+Z51+Z49+Z48))))))*1.09+(175*15)</f>
        <v>4701.375</v>
      </c>
      <c r="AA113" s="242">
        <f>(500*AA39)+(250*AA40)+((175*(AA42+AA44+AA45))+((175*(AA46+AA47+AA53))+((175*(AA57+AA58+AA60))+((75*(AA52+AA51+AA49+AA48))))))*1.09</f>
        <v>62.947500000000005</v>
      </c>
      <c r="AB113" s="242">
        <f t="shared" ref="AB113:AE113" si="220">(500*AB39)+(250*AB40)+((175*(AB42+AB44+AB45))+((175*(AB46+AB47+AB53))+((175*(AB57+AB58+AB60))+((75*(AB52+AB51+AB49+AB48))))))*1.09</f>
        <v>163.5</v>
      </c>
      <c r="AC113" s="242">
        <f t="shared" si="220"/>
        <v>0</v>
      </c>
      <c r="AD113" s="242">
        <f t="shared" si="220"/>
        <v>0</v>
      </c>
      <c r="AE113" s="242">
        <f t="shared" si="220"/>
        <v>0</v>
      </c>
      <c r="AF113" s="241">
        <f t="shared" si="162"/>
        <v>4927.8225000000002</v>
      </c>
      <c r="AH113" s="242">
        <f>(500*AH39)+(250*AH40)+((175*(AH42+AH44+AH45))+((175*(AH46+AH47+AH53))+((175*(AH57+AH58+AH60))+((75*(AH52+AH51+AH49+AH48))))))*1.09+(175*15)</f>
        <v>8294.25</v>
      </c>
      <c r="AI113" s="242">
        <f>(500*AI39)+(250*AI40)+((175*(AI42+AI44+AI45))+((175*(AI46+AI47+AI53))+((175*(AI57+AI58+AI60))+((75*(AI52+AI51+AI49+AI48))))))*1.09</f>
        <v>95.375</v>
      </c>
      <c r="AJ113" s="242">
        <f t="shared" ref="AJ113:AM113" si="221">(500*AJ39)+(250*AJ40)+((175*(AJ42+AJ44+AJ45))+((175*(AJ46+AJ47+AJ53))+((175*(AJ57+AJ58+AJ60))+((75*(AJ52+AJ51+AJ49+AJ48))))))*1.09</f>
        <v>327</v>
      </c>
      <c r="AK113" s="242">
        <f t="shared" si="221"/>
        <v>0</v>
      </c>
      <c r="AL113" s="242">
        <f t="shared" si="221"/>
        <v>0</v>
      </c>
      <c r="AM113" s="242">
        <f t="shared" si="221"/>
        <v>0</v>
      </c>
      <c r="AN113" s="241">
        <f t="shared" si="163"/>
        <v>8716.625</v>
      </c>
      <c r="AP113" s="242">
        <f>(500*AP39)+(250*AP40)+((175*(AP42+AP44+AP45))+((175*(AP46+AP47+AP53))+((175*(AP57+AP58+AP60))+((75*(AP52+AP51+AP49+AP48))))))*1.09+(175*10)</f>
        <v>2726.875</v>
      </c>
      <c r="AQ113" s="242">
        <f>(500*AQ39)+(250*AQ40)+((175*(AQ42+AQ44+AQ45))+((175*(AQ46+AQ47+AQ53))+((175*(AQ57+AQ58+AQ60))+((75*(AQ52+AQ51+AQ49+AQ48))))))*1.09</f>
        <v>0</v>
      </c>
      <c r="AR113" s="242">
        <f t="shared" ref="AR113:AU113" si="222">(500*AR39)+(250*AR40)+((175*(AR42+AR44+AR45))+((175*(AR46+AR47+AR53))+((175*(AR57+AR58+AR60))+((75*(AR52+AR51+AR49+AR48))))))*1.09</f>
        <v>81.75</v>
      </c>
      <c r="AS113" s="242">
        <f t="shared" si="222"/>
        <v>0</v>
      </c>
      <c r="AT113" s="242">
        <f t="shared" si="222"/>
        <v>0</v>
      </c>
      <c r="AU113" s="242">
        <f t="shared" si="222"/>
        <v>0</v>
      </c>
      <c r="AV113" s="241">
        <f t="shared" si="164"/>
        <v>2808.625</v>
      </c>
      <c r="AX113" s="242">
        <f>(500*AX39)+(250*AX40)+((175*(AX42+AX44+AX45))+((175*(AX46+AX47+AX53))+((175*(AX57+AX58+AX60))+((75*(AX52+AX51+AX49+AX48))))))*1.09</f>
        <v>0</v>
      </c>
      <c r="AY113" s="242">
        <f>(500*AY39)+(250*AY40)+((175*(AY42+AY44+AY45))+((175*(AY46+AY47+AY53))+((175*(AY57+AY58+AY60))+((75*(AY52+AY51+AY49+AY48))))))*1.09</f>
        <v>0</v>
      </c>
      <c r="AZ113" s="242">
        <f t="shared" ref="AZ113:BC113" si="223">(500*AZ39)+(250*AZ40)+((175*(AZ42+AZ44+AZ45))+((175*(AZ46+AZ47+AZ53))+((175*(AZ57+AZ58+AZ60))+((75*(AZ52+AZ51+AZ49+AZ48))))))*1.09</f>
        <v>0</v>
      </c>
      <c r="BA113" s="242">
        <f t="shared" si="223"/>
        <v>0</v>
      </c>
      <c r="BB113" s="242">
        <f t="shared" si="223"/>
        <v>0</v>
      </c>
      <c r="BC113" s="242">
        <f t="shared" si="223"/>
        <v>0</v>
      </c>
      <c r="BD113" s="241">
        <f t="shared" si="165"/>
        <v>0</v>
      </c>
      <c r="BF113" s="242">
        <f>(500*BF39)+(250*BF40)+((175*(BF42+BF44+BF45))+((175*(BF46+BF47+BF53))+((175*(BF57+BF58+BF60))+((75*(BF52+BF51+BF49+BF48))))))*1.09+(175*5)</f>
        <v>1397.5</v>
      </c>
      <c r="BG113" s="242">
        <f>(500*BG39)+(250*BG40)+((175*(BG42+BG44+BG45))+((175*(BG46+BG47+BG53))+((175*(BG57+BG58+BG60))+((75*(BG52+BG51+BG49+BG48))))))*1.09</f>
        <v>0</v>
      </c>
      <c r="BH113" s="242">
        <f t="shared" ref="BH113:BK113" si="224">(500*BH39)+(250*BH40)+((175*(BH42+BH44+BH45))+((175*(BH46+BH47+BH53))+((175*(BH57+BH58+BH60))+((75*(BH52+BH51+BH49+BH48))))))*1.09</f>
        <v>81.75</v>
      </c>
      <c r="BI113" s="242">
        <f t="shared" si="224"/>
        <v>0</v>
      </c>
      <c r="BJ113" s="242">
        <f t="shared" si="224"/>
        <v>0</v>
      </c>
      <c r="BK113" s="242">
        <f t="shared" si="224"/>
        <v>0</v>
      </c>
      <c r="BL113" s="241">
        <f t="shared" si="166"/>
        <v>1479.25</v>
      </c>
      <c r="BN113" s="241">
        <f t="shared" si="203"/>
        <v>35527.875</v>
      </c>
      <c r="BO113" s="241">
        <f t="shared" si="204"/>
        <v>158.32249999999999</v>
      </c>
      <c r="BP113" s="241">
        <f t="shared" si="205"/>
        <v>1471.5</v>
      </c>
      <c r="BQ113" s="241">
        <f t="shared" si="206"/>
        <v>0</v>
      </c>
      <c r="BR113" s="241">
        <f t="shared" si="207"/>
        <v>0</v>
      </c>
      <c r="BS113" s="241">
        <f t="shared" si="208"/>
        <v>0</v>
      </c>
      <c r="BT113" s="241">
        <f t="shared" si="194"/>
        <v>37157.697500000002</v>
      </c>
      <c r="BV113" s="241">
        <v>23950.947499999998</v>
      </c>
      <c r="BW113" s="286">
        <f t="shared" si="148"/>
        <v>13206.750000000004</v>
      </c>
    </row>
    <row r="114" spans="1:75" x14ac:dyDescent="0.25">
      <c r="A114" s="201" t="s">
        <v>247</v>
      </c>
      <c r="B114" s="244"/>
      <c r="C114" s="244"/>
      <c r="D114" s="244"/>
      <c r="E114" s="244"/>
      <c r="F114" s="244"/>
      <c r="G114" s="244"/>
      <c r="H114" s="241">
        <f t="shared" si="159"/>
        <v>0</v>
      </c>
      <c r="J114" s="244"/>
      <c r="K114" s="244"/>
      <c r="L114" s="244"/>
      <c r="M114" s="244"/>
      <c r="N114" s="244"/>
      <c r="O114" s="244"/>
      <c r="P114" s="241">
        <f t="shared" si="160"/>
        <v>0</v>
      </c>
      <c r="R114" s="244"/>
      <c r="S114" s="244"/>
      <c r="T114" s="244"/>
      <c r="U114" s="244"/>
      <c r="V114" s="244"/>
      <c r="W114" s="244"/>
      <c r="X114" s="241">
        <f t="shared" si="161"/>
        <v>0</v>
      </c>
      <c r="Z114" s="244"/>
      <c r="AA114" s="244"/>
      <c r="AB114" s="244"/>
      <c r="AC114" s="244"/>
      <c r="AD114" s="244"/>
      <c r="AE114" s="244"/>
      <c r="AF114" s="241">
        <f t="shared" si="162"/>
        <v>0</v>
      </c>
      <c r="AH114" s="244">
        <v>2500</v>
      </c>
      <c r="AI114" s="244"/>
      <c r="AJ114" s="244"/>
      <c r="AK114" s="244"/>
      <c r="AL114" s="244"/>
      <c r="AM114" s="244"/>
      <c r="AN114" s="241">
        <f t="shared" si="163"/>
        <v>2500</v>
      </c>
      <c r="AP114" s="244">
        <v>2500</v>
      </c>
      <c r="AQ114" s="244"/>
      <c r="AR114" s="244"/>
      <c r="AS114" s="244"/>
      <c r="AT114" s="244"/>
      <c r="AU114" s="244"/>
      <c r="AV114" s="241">
        <f t="shared" si="164"/>
        <v>2500</v>
      </c>
      <c r="AX114" s="244"/>
      <c r="AY114" s="244"/>
      <c r="AZ114" s="244"/>
      <c r="BA114" s="244"/>
      <c r="BB114" s="244"/>
      <c r="BC114" s="244"/>
      <c r="BD114" s="241">
        <f t="shared" si="165"/>
        <v>0</v>
      </c>
      <c r="BF114" s="242">
        <v>10000</v>
      </c>
      <c r="BG114" s="242"/>
      <c r="BH114" s="242"/>
      <c r="BI114" s="242"/>
      <c r="BJ114" s="242"/>
      <c r="BK114" s="242"/>
      <c r="BL114" s="241">
        <f t="shared" si="166"/>
        <v>10000</v>
      </c>
      <c r="BN114" s="241">
        <f t="shared" si="203"/>
        <v>15000</v>
      </c>
      <c r="BO114" s="241">
        <f t="shared" si="204"/>
        <v>0</v>
      </c>
      <c r="BP114" s="241">
        <f t="shared" si="205"/>
        <v>0</v>
      </c>
      <c r="BQ114" s="241">
        <f t="shared" si="206"/>
        <v>0</v>
      </c>
      <c r="BR114" s="241">
        <f t="shared" si="207"/>
        <v>0</v>
      </c>
      <c r="BS114" s="241">
        <f t="shared" si="208"/>
        <v>0</v>
      </c>
      <c r="BT114" s="241">
        <f t="shared" si="194"/>
        <v>15000</v>
      </c>
      <c r="BV114" s="241">
        <v>15000</v>
      </c>
      <c r="BW114" s="286">
        <f t="shared" si="148"/>
        <v>0</v>
      </c>
    </row>
    <row r="115" spans="1:75" x14ac:dyDescent="0.25">
      <c r="A115" s="202" t="s">
        <v>248</v>
      </c>
      <c r="B115" s="245">
        <v>3000</v>
      </c>
      <c r="C115" s="245"/>
      <c r="D115" s="245"/>
      <c r="E115" s="245"/>
      <c r="F115" s="245"/>
      <c r="G115" s="245"/>
      <c r="H115" s="241">
        <f t="shared" si="159"/>
        <v>3000</v>
      </c>
      <c r="J115" s="245">
        <v>3000</v>
      </c>
      <c r="K115" s="245"/>
      <c r="L115" s="245"/>
      <c r="M115" s="245"/>
      <c r="N115" s="245"/>
      <c r="O115" s="245"/>
      <c r="P115" s="241">
        <f t="shared" si="160"/>
        <v>3000</v>
      </c>
      <c r="R115" s="245">
        <v>3000</v>
      </c>
      <c r="S115" s="245"/>
      <c r="T115" s="245"/>
      <c r="U115" s="245"/>
      <c r="V115" s="245"/>
      <c r="W115" s="245"/>
      <c r="X115" s="241">
        <f t="shared" si="161"/>
        <v>3000</v>
      </c>
      <c r="Z115" s="245">
        <v>3000</v>
      </c>
      <c r="AA115" s="245"/>
      <c r="AB115" s="245"/>
      <c r="AC115" s="245"/>
      <c r="AD115" s="245"/>
      <c r="AE115" s="245"/>
      <c r="AF115" s="241">
        <f t="shared" si="162"/>
        <v>3000</v>
      </c>
      <c r="AH115" s="245">
        <v>3000</v>
      </c>
      <c r="AI115" s="245"/>
      <c r="AJ115" s="245"/>
      <c r="AK115" s="245"/>
      <c r="AL115" s="245"/>
      <c r="AM115" s="245"/>
      <c r="AN115" s="241">
        <f t="shared" si="163"/>
        <v>3000</v>
      </c>
      <c r="AP115" s="245">
        <v>0</v>
      </c>
      <c r="AQ115" s="245"/>
      <c r="AR115" s="245"/>
      <c r="AS115" s="245"/>
      <c r="AT115" s="245"/>
      <c r="AU115" s="245"/>
      <c r="AV115" s="241">
        <f t="shared" si="164"/>
        <v>0</v>
      </c>
      <c r="AX115" s="245">
        <v>0</v>
      </c>
      <c r="AY115" s="245"/>
      <c r="AZ115" s="245"/>
      <c r="BA115" s="245"/>
      <c r="BB115" s="245"/>
      <c r="BC115" s="245"/>
      <c r="BD115" s="241">
        <f t="shared" si="165"/>
        <v>0</v>
      </c>
      <c r="BF115" s="282"/>
      <c r="BG115" s="282"/>
      <c r="BH115" s="282"/>
      <c r="BI115" s="282"/>
      <c r="BJ115" s="282"/>
      <c r="BK115" s="282"/>
      <c r="BL115" s="241">
        <f t="shared" si="166"/>
        <v>0</v>
      </c>
      <c r="BN115" s="241">
        <f t="shared" si="203"/>
        <v>15000</v>
      </c>
      <c r="BO115" s="241">
        <f t="shared" si="204"/>
        <v>0</v>
      </c>
      <c r="BP115" s="241">
        <f t="shared" si="205"/>
        <v>0</v>
      </c>
      <c r="BQ115" s="241">
        <f t="shared" si="206"/>
        <v>0</v>
      </c>
      <c r="BR115" s="241">
        <f t="shared" si="207"/>
        <v>0</v>
      </c>
      <c r="BS115" s="241">
        <f t="shared" si="208"/>
        <v>0</v>
      </c>
      <c r="BT115" s="241">
        <f t="shared" si="194"/>
        <v>15000</v>
      </c>
      <c r="BV115" s="241">
        <v>15000</v>
      </c>
      <c r="BW115" s="286">
        <f t="shared" si="148"/>
        <v>0</v>
      </c>
    </row>
    <row r="116" spans="1:75" x14ac:dyDescent="0.25">
      <c r="A116" s="207" t="s">
        <v>330</v>
      </c>
      <c r="B116" s="258">
        <f>SUM(B110:B115)</f>
        <v>411336.18400000001</v>
      </c>
      <c r="C116" s="258">
        <f t="shared" ref="C116:H116" si="225">SUM(C110:C115)</f>
        <v>76989.875</v>
      </c>
      <c r="D116" s="258">
        <f t="shared" si="225"/>
        <v>31661.55</v>
      </c>
      <c r="E116" s="258">
        <f t="shared" si="225"/>
        <v>0</v>
      </c>
      <c r="F116" s="258">
        <f t="shared" si="225"/>
        <v>0</v>
      </c>
      <c r="G116" s="258">
        <f t="shared" si="225"/>
        <v>0</v>
      </c>
      <c r="H116" s="258">
        <f t="shared" si="225"/>
        <v>519987.60899999994</v>
      </c>
      <c r="J116" s="258">
        <f>SUM(J110:J115)</f>
        <v>1468482.99125</v>
      </c>
      <c r="K116" s="258">
        <f t="shared" ref="K116:P116" si="226">SUM(K110:K115)</f>
        <v>124416.75</v>
      </c>
      <c r="L116" s="258">
        <f t="shared" si="226"/>
        <v>96449.267999999996</v>
      </c>
      <c r="M116" s="258">
        <f t="shared" si="226"/>
        <v>0</v>
      </c>
      <c r="N116" s="258">
        <f t="shared" si="226"/>
        <v>0</v>
      </c>
      <c r="O116" s="258">
        <f t="shared" si="226"/>
        <v>0</v>
      </c>
      <c r="P116" s="258">
        <f t="shared" si="226"/>
        <v>1689349.0092499997</v>
      </c>
      <c r="R116" s="258">
        <f>SUM(R110:R115)</f>
        <v>543700.32825000002</v>
      </c>
      <c r="S116" s="258">
        <f t="shared" ref="S116:X116" si="227">SUM(S110:S115)</f>
        <v>63339.862499999996</v>
      </c>
      <c r="T116" s="258">
        <f t="shared" si="227"/>
        <v>38841</v>
      </c>
      <c r="U116" s="258">
        <f t="shared" si="227"/>
        <v>0</v>
      </c>
      <c r="V116" s="258">
        <f t="shared" si="227"/>
        <v>0</v>
      </c>
      <c r="W116" s="258">
        <f t="shared" si="227"/>
        <v>0</v>
      </c>
      <c r="X116" s="258">
        <f t="shared" si="227"/>
        <v>645881.19074999995</v>
      </c>
      <c r="Z116" s="258">
        <f>SUM(Z110:Z115)</f>
        <v>447188.01557500003</v>
      </c>
      <c r="AA116" s="258">
        <f t="shared" ref="AA116:AF116" si="228">SUM(AA110:AA115)</f>
        <v>94709.299999999988</v>
      </c>
      <c r="AB116" s="258">
        <f t="shared" si="228"/>
        <v>36307.019999999997</v>
      </c>
      <c r="AC116" s="258">
        <f t="shared" si="228"/>
        <v>0</v>
      </c>
      <c r="AD116" s="258">
        <f t="shared" si="228"/>
        <v>0</v>
      </c>
      <c r="AE116" s="258">
        <f t="shared" si="228"/>
        <v>0</v>
      </c>
      <c r="AF116" s="258">
        <f t="shared" si="228"/>
        <v>578204.33557500003</v>
      </c>
      <c r="AH116" s="258">
        <f>SUM(AH110:AH115)</f>
        <v>1269071.9125000001</v>
      </c>
      <c r="AI116" s="258">
        <f t="shared" ref="AI116:AN116" si="229">SUM(AI110:AI115)</f>
        <v>49308</v>
      </c>
      <c r="AJ116" s="258">
        <f t="shared" si="229"/>
        <v>60993.24</v>
      </c>
      <c r="AK116" s="258">
        <f t="shared" si="229"/>
        <v>0</v>
      </c>
      <c r="AL116" s="258">
        <f t="shared" si="229"/>
        <v>0</v>
      </c>
      <c r="AM116" s="258">
        <f t="shared" si="229"/>
        <v>0</v>
      </c>
      <c r="AN116" s="258">
        <f t="shared" si="229"/>
        <v>1379373.1524999999</v>
      </c>
      <c r="AP116" s="258">
        <f>SUM(AP110:AP115)</f>
        <v>187449.875</v>
      </c>
      <c r="AQ116" s="258">
        <f t="shared" ref="AQ116:AV116" si="230">SUM(AQ110:AQ115)</f>
        <v>37286.75</v>
      </c>
      <c r="AR116" s="258">
        <f t="shared" si="230"/>
        <v>18811</v>
      </c>
      <c r="AS116" s="258">
        <f t="shared" si="230"/>
        <v>0</v>
      </c>
      <c r="AT116" s="258">
        <f t="shared" si="230"/>
        <v>0</v>
      </c>
      <c r="AU116" s="258">
        <f t="shared" si="230"/>
        <v>0</v>
      </c>
      <c r="AV116" s="258">
        <f t="shared" si="230"/>
        <v>243547.625</v>
      </c>
      <c r="AX116" s="258">
        <f>SUM(AX110:AX115)</f>
        <v>0</v>
      </c>
      <c r="AY116" s="258">
        <f t="shared" ref="AY116:BD116" si="231">SUM(AY110:AY115)</f>
        <v>0</v>
      </c>
      <c r="AZ116" s="258">
        <f t="shared" si="231"/>
        <v>0</v>
      </c>
      <c r="BA116" s="258">
        <f t="shared" si="231"/>
        <v>0</v>
      </c>
      <c r="BB116" s="258">
        <f t="shared" si="231"/>
        <v>0</v>
      </c>
      <c r="BC116" s="258">
        <f t="shared" si="231"/>
        <v>0</v>
      </c>
      <c r="BD116" s="258">
        <f t="shared" si="231"/>
        <v>0</v>
      </c>
      <c r="BF116" s="258">
        <f>SUM(BF110:BF115)</f>
        <v>144964.125</v>
      </c>
      <c r="BG116" s="258">
        <f t="shared" ref="BG116:BL116" si="232">SUM(BG110:BG115)</f>
        <v>0</v>
      </c>
      <c r="BH116" s="258">
        <f t="shared" si="232"/>
        <v>12573.125</v>
      </c>
      <c r="BI116" s="258">
        <f t="shared" si="232"/>
        <v>0</v>
      </c>
      <c r="BJ116" s="258">
        <f t="shared" si="232"/>
        <v>0</v>
      </c>
      <c r="BK116" s="258">
        <f t="shared" si="232"/>
        <v>0</v>
      </c>
      <c r="BL116" s="258">
        <f t="shared" si="232"/>
        <v>157537.25</v>
      </c>
      <c r="BN116" s="258">
        <f>SUM(BN110:BN115)</f>
        <v>4472193.4315750003</v>
      </c>
      <c r="BO116" s="258">
        <f t="shared" ref="BO116:BT116" si="233">SUM(BO110:BO115)</f>
        <v>446050.53750000003</v>
      </c>
      <c r="BP116" s="258">
        <f t="shared" si="233"/>
        <v>295636.20299999998</v>
      </c>
      <c r="BQ116" s="258">
        <f t="shared" si="233"/>
        <v>0</v>
      </c>
      <c r="BR116" s="258">
        <f t="shared" si="233"/>
        <v>0</v>
      </c>
      <c r="BS116" s="258">
        <f t="shared" si="233"/>
        <v>0</v>
      </c>
      <c r="BT116" s="258">
        <f t="shared" si="233"/>
        <v>5213880.1720749997</v>
      </c>
      <c r="BV116" s="258">
        <v>5087845.4220749997</v>
      </c>
      <c r="BW116" s="286">
        <f t="shared" si="148"/>
        <v>126034.75</v>
      </c>
    </row>
    <row r="117" spans="1:75" x14ac:dyDescent="0.25">
      <c r="B117" s="259"/>
      <c r="C117" s="259"/>
      <c r="D117" s="259"/>
      <c r="E117" s="259"/>
      <c r="F117" s="259"/>
      <c r="G117" s="259"/>
      <c r="H117" s="259"/>
      <c r="BW117" s="286">
        <f t="shared" si="148"/>
        <v>0</v>
      </c>
    </row>
    <row r="118" spans="1:75" x14ac:dyDescent="0.25">
      <c r="A118" s="208" t="s">
        <v>331</v>
      </c>
      <c r="B118" s="260" t="s">
        <v>309</v>
      </c>
      <c r="C118" s="260" t="s">
        <v>310</v>
      </c>
      <c r="D118" s="260" t="s">
        <v>311</v>
      </c>
      <c r="E118" s="260" t="str">
        <f>E91</f>
        <v>Other</v>
      </c>
      <c r="F118" s="260" t="s">
        <v>315</v>
      </c>
      <c r="G118" s="260" t="s">
        <v>314</v>
      </c>
      <c r="H118" s="261" t="s">
        <v>320</v>
      </c>
      <c r="J118" s="260" t="s">
        <v>309</v>
      </c>
      <c r="K118" s="260" t="s">
        <v>310</v>
      </c>
      <c r="L118" s="260" t="s">
        <v>311</v>
      </c>
      <c r="M118" s="260" t="str">
        <f>M91</f>
        <v>Other</v>
      </c>
      <c r="N118" s="260" t="s">
        <v>315</v>
      </c>
      <c r="O118" s="260" t="s">
        <v>314</v>
      </c>
      <c r="P118" s="261" t="str">
        <f>P91</f>
        <v>Cadence</v>
      </c>
      <c r="R118" s="260" t="s">
        <v>309</v>
      </c>
      <c r="S118" s="260" t="s">
        <v>310</v>
      </c>
      <c r="T118" s="260" t="s">
        <v>311</v>
      </c>
      <c r="U118" s="260" t="str">
        <f>U91</f>
        <v>Other</v>
      </c>
      <c r="V118" s="260" t="s">
        <v>315</v>
      </c>
      <c r="W118" s="260" t="s">
        <v>314</v>
      </c>
      <c r="X118" s="261" t="str">
        <f>X91</f>
        <v>St. Rose</v>
      </c>
      <c r="Z118" s="260" t="s">
        <v>309</v>
      </c>
      <c r="AA118" s="260" t="s">
        <v>310</v>
      </c>
      <c r="AB118" s="260" t="s">
        <v>311</v>
      </c>
      <c r="AC118" s="260" t="str">
        <f>AC91</f>
        <v>Other</v>
      </c>
      <c r="AD118" s="260" t="s">
        <v>315</v>
      </c>
      <c r="AE118" s="260" t="s">
        <v>314</v>
      </c>
      <c r="AF118" s="261" t="str">
        <f>AF91</f>
        <v>Inspirada</v>
      </c>
      <c r="AH118" s="260" t="s">
        <v>309</v>
      </c>
      <c r="AI118" s="260" t="s">
        <v>310</v>
      </c>
      <c r="AJ118" s="260" t="s">
        <v>311</v>
      </c>
      <c r="AK118" s="260" t="str">
        <f>AK91</f>
        <v>Other</v>
      </c>
      <c r="AL118" s="260" t="s">
        <v>315</v>
      </c>
      <c r="AM118" s="260" t="s">
        <v>314</v>
      </c>
      <c r="AN118" s="261" t="str">
        <f>AN91</f>
        <v>Sloan</v>
      </c>
      <c r="AP118" s="260" t="s">
        <v>309</v>
      </c>
      <c r="AQ118" s="260" t="s">
        <v>310</v>
      </c>
      <c r="AR118" s="260" t="s">
        <v>311</v>
      </c>
      <c r="AS118" s="260" t="str">
        <f>AS91</f>
        <v>Other</v>
      </c>
      <c r="AT118" s="260" t="s">
        <v>315</v>
      </c>
      <c r="AU118" s="260" t="s">
        <v>314</v>
      </c>
      <c r="AV118" s="261" t="str">
        <f>AV91</f>
        <v>Springs</v>
      </c>
      <c r="AX118" s="260" t="s">
        <v>309</v>
      </c>
      <c r="AY118" s="260" t="s">
        <v>310</v>
      </c>
      <c r="AZ118" s="260" t="s">
        <v>311</v>
      </c>
      <c r="BA118" s="260" t="str">
        <f>BA91</f>
        <v>Other</v>
      </c>
      <c r="BB118" s="260" t="s">
        <v>315</v>
      </c>
      <c r="BC118" s="260" t="s">
        <v>314</v>
      </c>
      <c r="BD118" s="261" t="str">
        <f>BD91</f>
        <v>Virtual</v>
      </c>
      <c r="BF118" s="260" t="s">
        <v>309</v>
      </c>
      <c r="BG118" s="260" t="s">
        <v>310</v>
      </c>
      <c r="BH118" s="260" t="s">
        <v>311</v>
      </c>
      <c r="BI118" s="260" t="str">
        <f>BI91</f>
        <v>Other</v>
      </c>
      <c r="BJ118" s="260" t="s">
        <v>315</v>
      </c>
      <c r="BK118" s="260" t="s">
        <v>314</v>
      </c>
      <c r="BL118" s="261" t="str">
        <f>BL91</f>
        <v>Central</v>
      </c>
      <c r="BN118" s="260" t="s">
        <v>309</v>
      </c>
      <c r="BO118" s="260" t="s">
        <v>310</v>
      </c>
      <c r="BP118" s="260" t="s">
        <v>311</v>
      </c>
      <c r="BQ118" s="260" t="str">
        <f>BQ91</f>
        <v>Other</v>
      </c>
      <c r="BR118" s="260" t="s">
        <v>315</v>
      </c>
      <c r="BS118" s="260" t="s">
        <v>314</v>
      </c>
      <c r="BT118" s="261" t="str">
        <f>BT91</f>
        <v>System</v>
      </c>
      <c r="BV118" s="261" t="s">
        <v>320</v>
      </c>
      <c r="BW118" s="286" t="e">
        <f t="shared" si="148"/>
        <v>#VALUE!</v>
      </c>
    </row>
    <row r="119" spans="1:75" x14ac:dyDescent="0.25">
      <c r="A119" s="200" t="s">
        <v>249</v>
      </c>
      <c r="B119" s="257">
        <v>84915</v>
      </c>
      <c r="C119" s="257"/>
      <c r="D119" s="257"/>
      <c r="E119" s="257"/>
      <c r="F119" s="257">
        <v>65000</v>
      </c>
      <c r="G119" s="257"/>
      <c r="H119" s="241">
        <f t="shared" ref="H119:H131" si="234">SUM(B119:G119)</f>
        <v>149915</v>
      </c>
      <c r="J119" s="241">
        <f>(81000+75000+80000)*0.98375</f>
        <v>232165</v>
      </c>
      <c r="K119" s="241"/>
      <c r="L119" s="257"/>
      <c r="M119" s="257"/>
      <c r="N119" s="257"/>
      <c r="O119" s="257"/>
      <c r="P119" s="241">
        <f t="shared" ref="P119:P131" si="235">SUM(J119:O119)</f>
        <v>232165</v>
      </c>
      <c r="R119" s="241">
        <v>77500</v>
      </c>
      <c r="S119" s="241"/>
      <c r="T119" s="257"/>
      <c r="U119" s="257"/>
      <c r="V119" s="257">
        <v>0</v>
      </c>
      <c r="W119" s="257"/>
      <c r="X119" s="241">
        <f t="shared" ref="X119:X131" si="236">SUM(R119:W119)</f>
        <v>77500</v>
      </c>
      <c r="Z119" s="241">
        <f>75706+84460+88000</f>
        <v>248166</v>
      </c>
      <c r="AA119" s="241"/>
      <c r="AB119" s="257"/>
      <c r="AC119" s="257"/>
      <c r="AD119" s="257"/>
      <c r="AE119" s="257"/>
      <c r="AF119" s="241">
        <f t="shared" ref="AF119:AF131" si="237">SUM(Z119:AE119)</f>
        <v>248166</v>
      </c>
      <c r="AH119" s="241">
        <f>(72000+74500)</f>
        <v>146500</v>
      </c>
      <c r="AI119" s="241"/>
      <c r="AJ119" s="257"/>
      <c r="AK119" s="257"/>
      <c r="AL119" s="257">
        <v>0</v>
      </c>
      <c r="AM119" s="257"/>
      <c r="AN119" s="241">
        <f t="shared" ref="AN119:AN131" si="238">SUM(AH119:AM119)</f>
        <v>146500</v>
      </c>
      <c r="AP119" s="241"/>
      <c r="AQ119" s="241"/>
      <c r="AR119" s="257"/>
      <c r="AS119" s="257"/>
      <c r="AT119" s="257"/>
      <c r="AU119" s="257"/>
      <c r="AV119" s="241">
        <f t="shared" ref="AV119:AV131" si="239">SUM(AP119:AU119)</f>
        <v>0</v>
      </c>
      <c r="AX119" s="241"/>
      <c r="AY119" s="241"/>
      <c r="AZ119" s="257"/>
      <c r="BA119" s="257"/>
      <c r="BB119" s="257"/>
      <c r="BC119" s="257"/>
      <c r="BD119" s="241">
        <f t="shared" ref="BD119:BD131" si="240">SUM(AX119:BC119)</f>
        <v>0</v>
      </c>
      <c r="BF119" s="257">
        <v>0</v>
      </c>
      <c r="BG119" s="257"/>
      <c r="BH119" s="257"/>
      <c r="BI119" s="257"/>
      <c r="BJ119" s="257">
        <f>95000+1500+1000</f>
        <v>97500</v>
      </c>
      <c r="BK119" s="257"/>
      <c r="BL119" s="241">
        <f t="shared" ref="BL119:BL131" si="241">SUM(BF119:BK119)</f>
        <v>97500</v>
      </c>
      <c r="BN119" s="241">
        <f>B119+J119+R119+Z119+AH119+AP119+AX119+BF119</f>
        <v>789246</v>
      </c>
      <c r="BO119" s="241">
        <f t="shared" ref="BO119:BS119" si="242">C119+K119+S119+AA119+AI119+AQ119+AY119+BG119</f>
        <v>0</v>
      </c>
      <c r="BP119" s="241">
        <f t="shared" si="242"/>
        <v>0</v>
      </c>
      <c r="BQ119" s="241">
        <f t="shared" si="242"/>
        <v>0</v>
      </c>
      <c r="BR119" s="241">
        <f t="shared" si="242"/>
        <v>162500</v>
      </c>
      <c r="BS119" s="241">
        <f t="shared" si="242"/>
        <v>0</v>
      </c>
      <c r="BT119" s="241">
        <f t="shared" ref="BT119:BT120" si="243">SUM(BN119:BS119)</f>
        <v>951746</v>
      </c>
      <c r="BV119" s="241">
        <v>950746</v>
      </c>
      <c r="BW119" s="286">
        <f t="shared" si="148"/>
        <v>1000</v>
      </c>
    </row>
    <row r="120" spans="1:75" x14ac:dyDescent="0.25">
      <c r="A120" s="201" t="s">
        <v>192</v>
      </c>
      <c r="B120" s="244"/>
      <c r="C120" s="244"/>
      <c r="D120" s="244"/>
      <c r="E120" s="244"/>
      <c r="F120" s="244"/>
      <c r="G120" s="244"/>
      <c r="H120" s="241">
        <f t="shared" si="234"/>
        <v>0</v>
      </c>
      <c r="J120" s="242">
        <f>75115*0.98375</f>
        <v>73894.381250000006</v>
      </c>
      <c r="K120" s="242"/>
      <c r="L120" s="244"/>
      <c r="M120" s="244"/>
      <c r="N120" s="244"/>
      <c r="O120" s="244"/>
      <c r="P120" s="241">
        <f t="shared" si="235"/>
        <v>73894.381250000006</v>
      </c>
      <c r="R120" s="242"/>
      <c r="S120" s="242"/>
      <c r="T120" s="244"/>
      <c r="U120" s="244"/>
      <c r="V120" s="244"/>
      <c r="W120" s="244"/>
      <c r="X120" s="241">
        <f t="shared" si="236"/>
        <v>0</v>
      </c>
      <c r="Z120" s="242"/>
      <c r="AA120" s="242"/>
      <c r="AB120" s="244"/>
      <c r="AC120" s="244"/>
      <c r="AD120" s="244"/>
      <c r="AE120" s="244"/>
      <c r="AF120" s="241">
        <f t="shared" si="237"/>
        <v>0</v>
      </c>
      <c r="AH120" s="242"/>
      <c r="AI120" s="242"/>
      <c r="AJ120" s="244"/>
      <c r="AK120" s="244"/>
      <c r="AL120" s="244"/>
      <c r="AM120" s="244"/>
      <c r="AN120" s="241">
        <f t="shared" si="238"/>
        <v>0</v>
      </c>
      <c r="AP120" s="242">
        <v>75500</v>
      </c>
      <c r="AQ120" s="242"/>
      <c r="AR120" s="244"/>
      <c r="AS120" s="244"/>
      <c r="AT120" s="244"/>
      <c r="AU120" s="244"/>
      <c r="AV120" s="241">
        <f t="shared" si="239"/>
        <v>75500</v>
      </c>
      <c r="AX120" s="242">
        <v>95176</v>
      </c>
      <c r="AY120" s="242"/>
      <c r="AZ120" s="244"/>
      <c r="BA120" s="244"/>
      <c r="BB120" s="244"/>
      <c r="BC120" s="244"/>
      <c r="BD120" s="241">
        <f t="shared" si="240"/>
        <v>95176</v>
      </c>
      <c r="BF120" s="244"/>
      <c r="BG120" s="244"/>
      <c r="BH120" s="244"/>
      <c r="BI120" s="244"/>
      <c r="BJ120" s="244"/>
      <c r="BK120" s="244"/>
      <c r="BL120" s="241">
        <f t="shared" si="241"/>
        <v>0</v>
      </c>
      <c r="BN120" s="241">
        <f t="shared" ref="BN120:BN124" si="244">B120+J120+R120+Z120+AH120+AP120+AX120+BF120</f>
        <v>244570.38125000001</v>
      </c>
      <c r="BO120" s="241">
        <f t="shared" ref="BO120:BO124" si="245">C120+K120+S120+AA120+AI120+AQ120+AY120+BG120</f>
        <v>0</v>
      </c>
      <c r="BP120" s="241">
        <f t="shared" ref="BP120:BP124" si="246">D120+L120+T120+AB120+AJ120+AR120+AZ120+BH120</f>
        <v>0</v>
      </c>
      <c r="BQ120" s="241">
        <f t="shared" ref="BQ120:BQ124" si="247">E120+M120+U120+AC120+AK120+AS120+BA120+BI120</f>
        <v>0</v>
      </c>
      <c r="BR120" s="241">
        <f t="shared" ref="BR120:BR124" si="248">F120+N120+V120+AD120+AL120+AT120+BB120+BJ120</f>
        <v>0</v>
      </c>
      <c r="BS120" s="241">
        <f t="shared" ref="BS120:BS124" si="249">G120+O120+W120+AE120+AM120+AU120+BC120+BK120</f>
        <v>0</v>
      </c>
      <c r="BT120" s="241">
        <f t="shared" si="243"/>
        <v>244570.38125000001</v>
      </c>
      <c r="BV120" s="241">
        <v>234544.38125000001</v>
      </c>
      <c r="BW120" s="286">
        <f t="shared" si="148"/>
        <v>10026</v>
      </c>
    </row>
    <row r="121" spans="1:75" x14ac:dyDescent="0.25">
      <c r="A121" s="201" t="s">
        <v>250</v>
      </c>
      <c r="B121" s="244">
        <f>61050*B36+17500+2404</f>
        <v>2522954</v>
      </c>
      <c r="C121" s="244"/>
      <c r="D121" s="244"/>
      <c r="E121" s="244"/>
      <c r="F121" s="244"/>
      <c r="G121" s="244"/>
      <c r="H121" s="241">
        <f>SUM(B121:G121)</f>
        <v>2522954</v>
      </c>
      <c r="J121" s="242">
        <f>63500*J36+(1000*40)+20000</f>
        <v>6410000</v>
      </c>
      <c r="K121" s="242"/>
      <c r="L121" s="244"/>
      <c r="M121" s="244"/>
      <c r="N121" s="244"/>
      <c r="O121" s="244"/>
      <c r="P121" s="241">
        <f>SUM(J121:O121)</f>
        <v>6410000</v>
      </c>
      <c r="R121" s="242">
        <f>63150*R36+6218</f>
        <v>2784818</v>
      </c>
      <c r="S121" s="242"/>
      <c r="T121" s="244"/>
      <c r="U121" s="244"/>
      <c r="V121" s="244"/>
      <c r="W121" s="244"/>
      <c r="X121" s="241">
        <f>SUM(R121:W121)</f>
        <v>2784818</v>
      </c>
      <c r="Y121" s="71"/>
      <c r="Z121" s="242">
        <f>61000*Z36+7000+25000</f>
        <v>3448000</v>
      </c>
      <c r="AA121" s="242"/>
      <c r="AB121" s="244"/>
      <c r="AC121" s="244"/>
      <c r="AD121" s="244"/>
      <c r="AE121" s="244"/>
      <c r="AF121" s="241">
        <f>SUM(Z121:AE121)</f>
        <v>3448000</v>
      </c>
      <c r="AH121" s="242">
        <f>63250*AH36+(500*30)</f>
        <v>6340000</v>
      </c>
      <c r="AI121" s="242"/>
      <c r="AJ121" s="244"/>
      <c r="AK121" s="244"/>
      <c r="AL121" s="244"/>
      <c r="AM121" s="244"/>
      <c r="AN121" s="241">
        <f>SUM(AH121:AM121)</f>
        <v>6340000</v>
      </c>
      <c r="AP121" s="242">
        <f>62500*AP36</f>
        <v>1125000</v>
      </c>
      <c r="AQ121" s="242"/>
      <c r="AR121" s="244"/>
      <c r="AS121" s="244"/>
      <c r="AT121" s="244"/>
      <c r="AU121" s="244"/>
      <c r="AV121" s="241">
        <f>SUM(AP121:AU121)</f>
        <v>1125000</v>
      </c>
      <c r="AX121" s="242">
        <f>62000*AX36</f>
        <v>0</v>
      </c>
      <c r="AY121" s="242"/>
      <c r="AZ121" s="244"/>
      <c r="BA121" s="244"/>
      <c r="BB121" s="244"/>
      <c r="BC121" s="244"/>
      <c r="BD121" s="241">
        <f>SUM(AX121:BC121)</f>
        <v>0</v>
      </c>
      <c r="BF121" s="244">
        <f>80500+1500</f>
        <v>82000</v>
      </c>
      <c r="BG121" s="244"/>
      <c r="BH121" s="244"/>
      <c r="BI121" s="244"/>
      <c r="BJ121" s="244"/>
      <c r="BK121" s="244"/>
      <c r="BL121" s="241">
        <f>SUM(BF121:BK121)</f>
        <v>82000</v>
      </c>
      <c r="BN121" s="241">
        <f t="shared" si="244"/>
        <v>22712772</v>
      </c>
      <c r="BO121" s="241">
        <f t="shared" si="245"/>
        <v>0</v>
      </c>
      <c r="BP121" s="241">
        <f t="shared" si="246"/>
        <v>0</v>
      </c>
      <c r="BQ121" s="241">
        <f t="shared" si="247"/>
        <v>0</v>
      </c>
      <c r="BR121" s="241">
        <f t="shared" si="248"/>
        <v>0</v>
      </c>
      <c r="BS121" s="241">
        <f t="shared" si="249"/>
        <v>0</v>
      </c>
      <c r="BT121" s="241">
        <f>SUM(BN121:BS121)</f>
        <v>22712772</v>
      </c>
      <c r="BV121" s="241">
        <v>22560172</v>
      </c>
      <c r="BW121" s="286">
        <f t="shared" si="148"/>
        <v>152600</v>
      </c>
    </row>
    <row r="122" spans="1:75" x14ac:dyDescent="0.25">
      <c r="A122" s="201" t="s">
        <v>181</v>
      </c>
      <c r="B122" s="244"/>
      <c r="C122" s="244">
        <f>61050*C28</f>
        <v>305250</v>
      </c>
      <c r="D122" s="244"/>
      <c r="E122" s="244"/>
      <c r="F122" s="244"/>
      <c r="G122" s="244"/>
      <c r="H122" s="241">
        <f t="shared" si="234"/>
        <v>305250</v>
      </c>
      <c r="J122" s="242"/>
      <c r="K122" s="242">
        <f>63500*K36</f>
        <v>825500</v>
      </c>
      <c r="L122" s="244"/>
      <c r="M122" s="244"/>
      <c r="N122" s="244"/>
      <c r="O122" s="244"/>
      <c r="P122" s="241">
        <f t="shared" si="235"/>
        <v>825500</v>
      </c>
      <c r="R122" s="242"/>
      <c r="S122" s="242">
        <f>63150*S36</f>
        <v>252600</v>
      </c>
      <c r="T122" s="244"/>
      <c r="U122" s="244"/>
      <c r="V122" s="244"/>
      <c r="W122" s="244"/>
      <c r="X122" s="241">
        <f t="shared" si="236"/>
        <v>252600</v>
      </c>
      <c r="Y122" s="71"/>
      <c r="Z122" s="242"/>
      <c r="AA122" s="242">
        <f>61000*AA36</f>
        <v>305000</v>
      </c>
      <c r="AB122" s="244"/>
      <c r="AC122" s="244"/>
      <c r="AD122" s="244"/>
      <c r="AE122" s="244"/>
      <c r="AF122" s="241">
        <f t="shared" si="237"/>
        <v>305000</v>
      </c>
      <c r="AH122" s="242"/>
      <c r="AI122" s="242">
        <f>63250*AI36</f>
        <v>759000</v>
      </c>
      <c r="AJ122" s="244"/>
      <c r="AK122" s="244"/>
      <c r="AL122" s="244"/>
      <c r="AM122" s="244"/>
      <c r="AN122" s="241">
        <f t="shared" si="238"/>
        <v>759000</v>
      </c>
      <c r="AP122" s="242"/>
      <c r="AQ122" s="242">
        <f>69000*AQ36</f>
        <v>69000</v>
      </c>
      <c r="AR122" s="244"/>
      <c r="AS122" s="244"/>
      <c r="AT122" s="244"/>
      <c r="AU122" s="244"/>
      <c r="AV122" s="241">
        <f t="shared" si="239"/>
        <v>69000</v>
      </c>
      <c r="AX122" s="242"/>
      <c r="AY122" s="242">
        <v>83000</v>
      </c>
      <c r="AZ122" s="244"/>
      <c r="BA122" s="244"/>
      <c r="BB122" s="244"/>
      <c r="BC122" s="244"/>
      <c r="BD122" s="241">
        <f t="shared" si="240"/>
        <v>83000</v>
      </c>
      <c r="BF122" s="244"/>
      <c r="BG122" s="244"/>
      <c r="BH122" s="244"/>
      <c r="BI122" s="244"/>
      <c r="BJ122" s="244"/>
      <c r="BK122" s="244"/>
      <c r="BL122" s="241">
        <f t="shared" si="241"/>
        <v>0</v>
      </c>
      <c r="BN122" s="241">
        <f t="shared" si="244"/>
        <v>0</v>
      </c>
      <c r="BO122" s="241">
        <f t="shared" si="245"/>
        <v>2599350</v>
      </c>
      <c r="BP122" s="241">
        <f t="shared" si="246"/>
        <v>0</v>
      </c>
      <c r="BQ122" s="241">
        <f t="shared" si="247"/>
        <v>0</v>
      </c>
      <c r="BR122" s="241">
        <f t="shared" si="248"/>
        <v>0</v>
      </c>
      <c r="BS122" s="241">
        <f t="shared" si="249"/>
        <v>0</v>
      </c>
      <c r="BT122" s="241">
        <f t="shared" ref="BT122" si="250">SUM(BN122:BS122)</f>
        <v>2599350</v>
      </c>
      <c r="BV122" s="241">
        <v>2583028</v>
      </c>
      <c r="BW122" s="286">
        <f t="shared" si="148"/>
        <v>16322</v>
      </c>
    </row>
    <row r="123" spans="1:75" x14ac:dyDescent="0.25">
      <c r="A123" s="201" t="s">
        <v>251</v>
      </c>
      <c r="B123" s="244">
        <f>(21*7.55*180)*B50</f>
        <v>114155.99999999999</v>
      </c>
      <c r="C123" s="244">
        <f>(21*8*180)*C50</f>
        <v>120960</v>
      </c>
      <c r="D123" s="244"/>
      <c r="E123" s="244">
        <f>(20.25*8*180)*E50</f>
        <v>0</v>
      </c>
      <c r="F123" s="244">
        <f>(20.75*8*180)*F50</f>
        <v>0</v>
      </c>
      <c r="G123" s="244">
        <f>(20.25*8*180)*G50</f>
        <v>0</v>
      </c>
      <c r="H123" s="241">
        <f>SUM(B123:G123)</f>
        <v>235116</v>
      </c>
      <c r="J123" s="242">
        <f>(20.66*8*180)*J50</f>
        <v>297504</v>
      </c>
      <c r="K123" s="242">
        <f>(20.66*8*180)*K50</f>
        <v>357004.80000000005</v>
      </c>
      <c r="L123" s="244"/>
      <c r="M123" s="244"/>
      <c r="N123" s="244"/>
      <c r="O123" s="244">
        <f>(20.25*8*180)*O50</f>
        <v>0</v>
      </c>
      <c r="P123" s="241">
        <f>SUM(J123:O123)</f>
        <v>654508.80000000005</v>
      </c>
      <c r="R123" s="242">
        <f>(21*7.5*180)*R50</f>
        <v>198450</v>
      </c>
      <c r="S123" s="242">
        <f>(21*7.5*180)*S50</f>
        <v>113400</v>
      </c>
      <c r="T123" s="244"/>
      <c r="U123" s="244"/>
      <c r="V123" s="244"/>
      <c r="W123" s="244">
        <f>(20.25*8*180)*W50</f>
        <v>0</v>
      </c>
      <c r="X123" s="241">
        <f>SUM(R123:W123)</f>
        <v>311850</v>
      </c>
      <c r="Z123" s="242">
        <f>(20*8*180)*Z50</f>
        <v>144000</v>
      </c>
      <c r="AA123" s="242">
        <f>(20*8*180)*AA50</f>
        <v>144000</v>
      </c>
      <c r="AB123" s="244"/>
      <c r="AC123" s="244"/>
      <c r="AD123" s="244"/>
      <c r="AE123" s="244">
        <f>(20.25*8*180)*AE50</f>
        <v>0</v>
      </c>
      <c r="AF123" s="241">
        <f>SUM(Z123:AE123)</f>
        <v>288000</v>
      </c>
      <c r="AH123" s="242">
        <f>(21*8*180)*AH50</f>
        <v>166320</v>
      </c>
      <c r="AI123" s="242">
        <f>(21*8*180)*AI50</f>
        <v>362880</v>
      </c>
      <c r="AJ123" s="244"/>
      <c r="AK123" s="244"/>
      <c r="AL123" s="244"/>
      <c r="AM123" s="244">
        <f>(20.25*8*180)*AM50</f>
        <v>0</v>
      </c>
      <c r="AN123" s="241">
        <f>SUM(AH123:AM123)</f>
        <v>529200</v>
      </c>
      <c r="AP123" s="242">
        <f>(21*8*180)*AP50</f>
        <v>60480</v>
      </c>
      <c r="AQ123" s="242">
        <f>(20*8*180)*AQ50</f>
        <v>0</v>
      </c>
      <c r="AR123" s="244"/>
      <c r="AS123" s="244"/>
      <c r="AT123" s="244">
        <f>37918+24973</f>
        <v>62891</v>
      </c>
      <c r="AU123" s="244">
        <f>(20.25*8*180)*AU50</f>
        <v>0</v>
      </c>
      <c r="AV123" s="241">
        <f>SUM(AP123:AU123)</f>
        <v>123371</v>
      </c>
      <c r="AX123" s="242">
        <f>(21*7.5*180)*AX50+500</f>
        <v>57200</v>
      </c>
      <c r="AY123" s="242">
        <f>(21*7.5*180)*AY50+500</f>
        <v>28850</v>
      </c>
      <c r="AZ123" s="244"/>
      <c r="BA123" s="244"/>
      <c r="BB123" s="244">
        <v>21189</v>
      </c>
      <c r="BC123" s="244">
        <f>(20.25*8*180)*BC50</f>
        <v>0</v>
      </c>
      <c r="BD123" s="241">
        <f>SUM(AX123:BC123)</f>
        <v>107239</v>
      </c>
      <c r="BF123" s="244"/>
      <c r="BG123" s="244"/>
      <c r="BH123" s="244"/>
      <c r="BI123" s="244"/>
      <c r="BJ123" s="244"/>
      <c r="BK123" s="244">
        <f>(20.25*8*180)*BK50</f>
        <v>0</v>
      </c>
      <c r="BL123" s="241">
        <f>SUM(BF123:BK123)</f>
        <v>0</v>
      </c>
      <c r="BN123" s="241">
        <f t="shared" si="244"/>
        <v>1038110</v>
      </c>
      <c r="BO123" s="241">
        <f t="shared" si="245"/>
        <v>1127094.8</v>
      </c>
      <c r="BP123" s="241">
        <f t="shared" si="246"/>
        <v>0</v>
      </c>
      <c r="BQ123" s="241">
        <f t="shared" si="247"/>
        <v>0</v>
      </c>
      <c r="BR123" s="241">
        <f t="shared" si="248"/>
        <v>84080</v>
      </c>
      <c r="BS123" s="241">
        <f t="shared" si="249"/>
        <v>0</v>
      </c>
      <c r="BT123" s="241">
        <f>SUM(BN123:BS123)</f>
        <v>2249284.7999999998</v>
      </c>
      <c r="BV123" s="241">
        <v>2249284.7999999998</v>
      </c>
      <c r="BW123" s="286">
        <f t="shared" si="148"/>
        <v>0</v>
      </c>
    </row>
    <row r="124" spans="1:75" x14ac:dyDescent="0.25">
      <c r="A124" s="202" t="s">
        <v>209</v>
      </c>
      <c r="B124" s="245">
        <f>175*180*B59</f>
        <v>31500</v>
      </c>
      <c r="C124" s="245"/>
      <c r="D124" s="245"/>
      <c r="E124" s="245"/>
      <c r="F124" s="245"/>
      <c r="G124" s="245"/>
      <c r="H124" s="262">
        <f>SUM(B124:G124)</f>
        <v>31500</v>
      </c>
      <c r="J124" s="245">
        <f>175*180*J59</f>
        <v>94500</v>
      </c>
      <c r="K124" s="245"/>
      <c r="L124" s="245"/>
      <c r="M124" s="245"/>
      <c r="N124" s="245"/>
      <c r="O124" s="245"/>
      <c r="P124" s="262">
        <f>SUM(J124:O124)</f>
        <v>94500</v>
      </c>
      <c r="R124" s="245">
        <f>175*180*R59</f>
        <v>31500</v>
      </c>
      <c r="S124" s="245"/>
      <c r="T124" s="245"/>
      <c r="U124" s="245"/>
      <c r="V124" s="245"/>
      <c r="W124" s="245"/>
      <c r="X124" s="262">
        <f>SUM(R124:W124)</f>
        <v>31500</v>
      </c>
      <c r="Z124" s="245">
        <f>175*180*Z59</f>
        <v>63000</v>
      </c>
      <c r="AA124" s="245"/>
      <c r="AB124" s="245"/>
      <c r="AC124" s="245"/>
      <c r="AD124" s="245"/>
      <c r="AE124" s="245"/>
      <c r="AF124" s="262">
        <f>SUM(Z124:AE124)</f>
        <v>63000</v>
      </c>
      <c r="AH124" s="245">
        <f>175*180*AH59</f>
        <v>126000</v>
      </c>
      <c r="AI124" s="245"/>
      <c r="AJ124" s="245"/>
      <c r="AK124" s="245"/>
      <c r="AL124" s="245"/>
      <c r="AM124" s="245"/>
      <c r="AN124" s="262">
        <f>SUM(AH124:AM124)</f>
        <v>126000</v>
      </c>
      <c r="AP124" s="245">
        <f>175*180*AP59</f>
        <v>0</v>
      </c>
      <c r="AQ124" s="245"/>
      <c r="AR124" s="245"/>
      <c r="AS124" s="245"/>
      <c r="AT124" s="245"/>
      <c r="AU124" s="245"/>
      <c r="AV124" s="262">
        <f>SUM(AP124:AU124)</f>
        <v>0</v>
      </c>
      <c r="AX124" s="245">
        <f>175*180*AX59</f>
        <v>0</v>
      </c>
      <c r="AY124" s="245"/>
      <c r="AZ124" s="245"/>
      <c r="BA124" s="245"/>
      <c r="BB124" s="245"/>
      <c r="BC124" s="245"/>
      <c r="BD124" s="262">
        <f>SUM(AX124:BC124)</f>
        <v>0</v>
      </c>
      <c r="BF124" s="245"/>
      <c r="BG124" s="245"/>
      <c r="BH124" s="245"/>
      <c r="BI124" s="245"/>
      <c r="BJ124" s="245"/>
      <c r="BK124" s="245"/>
      <c r="BL124" s="262">
        <f>SUM(BF124:BK124)</f>
        <v>0</v>
      </c>
      <c r="BN124" s="241">
        <f t="shared" si="244"/>
        <v>346500</v>
      </c>
      <c r="BO124" s="241">
        <f t="shared" si="245"/>
        <v>0</v>
      </c>
      <c r="BP124" s="241">
        <f t="shared" si="246"/>
        <v>0</v>
      </c>
      <c r="BQ124" s="241">
        <f t="shared" si="247"/>
        <v>0</v>
      </c>
      <c r="BR124" s="241">
        <f t="shared" si="248"/>
        <v>0</v>
      </c>
      <c r="BS124" s="241">
        <f t="shared" si="249"/>
        <v>0</v>
      </c>
      <c r="BT124" s="262">
        <f>SUM(BN124:BS124)</f>
        <v>346500</v>
      </c>
      <c r="BV124" s="262">
        <v>346500</v>
      </c>
      <c r="BW124" s="286">
        <f t="shared" si="148"/>
        <v>0</v>
      </c>
    </row>
    <row r="125" spans="1:75" x14ac:dyDescent="0.25">
      <c r="A125" s="207" t="s">
        <v>332</v>
      </c>
      <c r="B125" s="258">
        <f t="shared" ref="B125:H125" si="251">SUM(B119:B124)</f>
        <v>2753525</v>
      </c>
      <c r="C125" s="258">
        <f t="shared" si="251"/>
        <v>426210</v>
      </c>
      <c r="D125" s="258">
        <f t="shared" si="251"/>
        <v>0</v>
      </c>
      <c r="E125" s="258">
        <f t="shared" si="251"/>
        <v>0</v>
      </c>
      <c r="F125" s="258">
        <f t="shared" si="251"/>
        <v>65000</v>
      </c>
      <c r="G125" s="258">
        <f t="shared" si="251"/>
        <v>0</v>
      </c>
      <c r="H125" s="258">
        <f t="shared" si="251"/>
        <v>3244735</v>
      </c>
      <c r="J125" s="258">
        <f t="shared" ref="J125:P125" si="252">SUM(J119:J124)</f>
        <v>7108063.3812499996</v>
      </c>
      <c r="K125" s="258">
        <f t="shared" si="252"/>
        <v>1182504.8</v>
      </c>
      <c r="L125" s="258">
        <f t="shared" si="252"/>
        <v>0</v>
      </c>
      <c r="M125" s="258">
        <f t="shared" si="252"/>
        <v>0</v>
      </c>
      <c r="N125" s="258">
        <f t="shared" si="252"/>
        <v>0</v>
      </c>
      <c r="O125" s="258">
        <f t="shared" si="252"/>
        <v>0</v>
      </c>
      <c r="P125" s="258">
        <f t="shared" si="252"/>
        <v>8290568.1812499994</v>
      </c>
      <c r="R125" s="258">
        <f t="shared" ref="R125:X125" si="253">SUM(R119:R124)</f>
        <v>3092268</v>
      </c>
      <c r="S125" s="258">
        <f t="shared" si="253"/>
        <v>366000</v>
      </c>
      <c r="T125" s="258">
        <f t="shared" si="253"/>
        <v>0</v>
      </c>
      <c r="U125" s="258">
        <f t="shared" si="253"/>
        <v>0</v>
      </c>
      <c r="V125" s="258">
        <f t="shared" si="253"/>
        <v>0</v>
      </c>
      <c r="W125" s="258">
        <f t="shared" si="253"/>
        <v>0</v>
      </c>
      <c r="X125" s="258">
        <f t="shared" si="253"/>
        <v>3458268</v>
      </c>
      <c r="Z125" s="258">
        <f t="shared" ref="Z125:AF125" si="254">SUM(Z119:Z124)</f>
        <v>3903166</v>
      </c>
      <c r="AA125" s="258">
        <f t="shared" si="254"/>
        <v>449000</v>
      </c>
      <c r="AB125" s="258">
        <f t="shared" si="254"/>
        <v>0</v>
      </c>
      <c r="AC125" s="258">
        <f t="shared" si="254"/>
        <v>0</v>
      </c>
      <c r="AD125" s="258">
        <f t="shared" si="254"/>
        <v>0</v>
      </c>
      <c r="AE125" s="258">
        <f t="shared" si="254"/>
        <v>0</v>
      </c>
      <c r="AF125" s="258">
        <f t="shared" si="254"/>
        <v>4352166</v>
      </c>
      <c r="AH125" s="258">
        <f t="shared" ref="AH125:AN125" si="255">SUM(AH119:AH124)</f>
        <v>6778820</v>
      </c>
      <c r="AI125" s="258">
        <f t="shared" si="255"/>
        <v>1121880</v>
      </c>
      <c r="AJ125" s="258">
        <f t="shared" si="255"/>
        <v>0</v>
      </c>
      <c r="AK125" s="258">
        <f t="shared" si="255"/>
        <v>0</v>
      </c>
      <c r="AL125" s="258">
        <f t="shared" si="255"/>
        <v>0</v>
      </c>
      <c r="AM125" s="258">
        <f t="shared" si="255"/>
        <v>0</v>
      </c>
      <c r="AN125" s="258">
        <f t="shared" si="255"/>
        <v>7900700</v>
      </c>
      <c r="AP125" s="258">
        <f t="shared" ref="AP125:AV125" si="256">SUM(AP119:AP124)</f>
        <v>1260980</v>
      </c>
      <c r="AQ125" s="258">
        <f t="shared" si="256"/>
        <v>69000</v>
      </c>
      <c r="AR125" s="258">
        <f t="shared" si="256"/>
        <v>0</v>
      </c>
      <c r="AS125" s="258">
        <f t="shared" si="256"/>
        <v>0</v>
      </c>
      <c r="AT125" s="258">
        <f t="shared" si="256"/>
        <v>62891</v>
      </c>
      <c r="AU125" s="258">
        <f t="shared" si="256"/>
        <v>0</v>
      </c>
      <c r="AV125" s="258">
        <f t="shared" si="256"/>
        <v>1392871</v>
      </c>
      <c r="AX125" s="258">
        <f t="shared" ref="AX125:BD125" si="257">SUM(AX119:AX124)</f>
        <v>152376</v>
      </c>
      <c r="AY125" s="258">
        <f t="shared" si="257"/>
        <v>111850</v>
      </c>
      <c r="AZ125" s="258">
        <f t="shared" si="257"/>
        <v>0</v>
      </c>
      <c r="BA125" s="258">
        <f t="shared" si="257"/>
        <v>0</v>
      </c>
      <c r="BB125" s="258">
        <f t="shared" si="257"/>
        <v>21189</v>
      </c>
      <c r="BC125" s="258">
        <f t="shared" si="257"/>
        <v>0</v>
      </c>
      <c r="BD125" s="258">
        <f t="shared" si="257"/>
        <v>285415</v>
      </c>
      <c r="BF125" s="258">
        <f t="shared" ref="BF125:BL125" si="258">SUM(BF119:BF124)</f>
        <v>82000</v>
      </c>
      <c r="BG125" s="258">
        <f t="shared" si="258"/>
        <v>0</v>
      </c>
      <c r="BH125" s="258">
        <f t="shared" si="258"/>
        <v>0</v>
      </c>
      <c r="BI125" s="258">
        <f t="shared" si="258"/>
        <v>0</v>
      </c>
      <c r="BJ125" s="258">
        <f t="shared" si="258"/>
        <v>97500</v>
      </c>
      <c r="BK125" s="258">
        <f t="shared" si="258"/>
        <v>0</v>
      </c>
      <c r="BL125" s="258">
        <f t="shared" si="258"/>
        <v>179500</v>
      </c>
      <c r="BN125" s="258">
        <f t="shared" ref="BN125:BT125" si="259">SUM(BN119:BN124)</f>
        <v>25131198.381250001</v>
      </c>
      <c r="BO125" s="258">
        <f t="shared" si="259"/>
        <v>3726444.8</v>
      </c>
      <c r="BP125" s="258">
        <f t="shared" si="259"/>
        <v>0</v>
      </c>
      <c r="BQ125" s="258">
        <f t="shared" si="259"/>
        <v>0</v>
      </c>
      <c r="BR125" s="258">
        <f t="shared" si="259"/>
        <v>246580</v>
      </c>
      <c r="BS125" s="258">
        <f t="shared" si="259"/>
        <v>0</v>
      </c>
      <c r="BT125" s="258">
        <f t="shared" si="259"/>
        <v>29104223.181250002</v>
      </c>
      <c r="BV125" s="258">
        <v>28924275.181250002</v>
      </c>
      <c r="BW125" s="286">
        <f t="shared" si="148"/>
        <v>179948</v>
      </c>
    </row>
    <row r="126" spans="1:75" x14ac:dyDescent="0.25">
      <c r="A126" s="200" t="s">
        <v>243</v>
      </c>
      <c r="B126" s="257">
        <f>B125*0.3675</f>
        <v>1011920.4375</v>
      </c>
      <c r="C126" s="257">
        <f t="shared" ref="C126:G126" si="260">C125*0.3675</f>
        <v>156632.17499999999</v>
      </c>
      <c r="D126" s="257">
        <f t="shared" si="260"/>
        <v>0</v>
      </c>
      <c r="E126" s="257">
        <f t="shared" si="260"/>
        <v>0</v>
      </c>
      <c r="F126" s="257">
        <f t="shared" si="260"/>
        <v>23887.5</v>
      </c>
      <c r="G126" s="257">
        <f t="shared" si="260"/>
        <v>0</v>
      </c>
      <c r="H126" s="241">
        <f t="shared" si="234"/>
        <v>1192440.1125</v>
      </c>
      <c r="J126" s="257">
        <f>J125*0.3675</f>
        <v>2612213.292609375</v>
      </c>
      <c r="K126" s="257">
        <f t="shared" ref="K126:O126" si="261">K125*0.3675</f>
        <v>434570.51400000002</v>
      </c>
      <c r="L126" s="257">
        <f t="shared" si="261"/>
        <v>0</v>
      </c>
      <c r="M126" s="257">
        <f t="shared" si="261"/>
        <v>0</v>
      </c>
      <c r="N126" s="257">
        <f t="shared" si="261"/>
        <v>0</v>
      </c>
      <c r="O126" s="257">
        <f t="shared" si="261"/>
        <v>0</v>
      </c>
      <c r="P126" s="241">
        <f t="shared" si="235"/>
        <v>3046783.8066093749</v>
      </c>
      <c r="R126" s="257">
        <f>R125*0.3675</f>
        <v>1136408.49</v>
      </c>
      <c r="S126" s="257">
        <f t="shared" ref="S126:W126" si="262">S125*0.3675</f>
        <v>134505</v>
      </c>
      <c r="T126" s="257">
        <f t="shared" si="262"/>
        <v>0</v>
      </c>
      <c r="U126" s="257">
        <f t="shared" si="262"/>
        <v>0</v>
      </c>
      <c r="V126" s="257">
        <f t="shared" si="262"/>
        <v>0</v>
      </c>
      <c r="W126" s="257">
        <f t="shared" si="262"/>
        <v>0</v>
      </c>
      <c r="X126" s="241">
        <f t="shared" si="236"/>
        <v>1270913.49</v>
      </c>
      <c r="Z126" s="257">
        <f>Z125*0.3675</f>
        <v>1434413.5049999999</v>
      </c>
      <c r="AA126" s="257">
        <f t="shared" ref="AA126:AE126" si="263">AA125*0.3675</f>
        <v>165007.5</v>
      </c>
      <c r="AB126" s="257">
        <f t="shared" si="263"/>
        <v>0</v>
      </c>
      <c r="AC126" s="257">
        <f t="shared" si="263"/>
        <v>0</v>
      </c>
      <c r="AD126" s="257">
        <f t="shared" si="263"/>
        <v>0</v>
      </c>
      <c r="AE126" s="257">
        <f t="shared" si="263"/>
        <v>0</v>
      </c>
      <c r="AF126" s="241">
        <f t="shared" si="237"/>
        <v>1599421.0049999999</v>
      </c>
      <c r="AH126" s="257">
        <f>AH125*0.3675</f>
        <v>2491216.35</v>
      </c>
      <c r="AI126" s="257">
        <f t="shared" ref="AI126:AM126" si="264">AI125*0.3675</f>
        <v>412290.89999999997</v>
      </c>
      <c r="AJ126" s="257">
        <f t="shared" si="264"/>
        <v>0</v>
      </c>
      <c r="AK126" s="257">
        <f t="shared" si="264"/>
        <v>0</v>
      </c>
      <c r="AL126" s="257">
        <f t="shared" si="264"/>
        <v>0</v>
      </c>
      <c r="AM126" s="257">
        <f t="shared" si="264"/>
        <v>0</v>
      </c>
      <c r="AN126" s="241">
        <f t="shared" si="238"/>
        <v>2903507.25</v>
      </c>
      <c r="AP126" s="257">
        <f>AP125*0.3675</f>
        <v>463410.14999999997</v>
      </c>
      <c r="AQ126" s="257">
        <f t="shared" ref="AQ126:AU126" si="265">AQ125*0.3675</f>
        <v>25357.5</v>
      </c>
      <c r="AR126" s="257">
        <f t="shared" si="265"/>
        <v>0</v>
      </c>
      <c r="AS126" s="257">
        <f t="shared" si="265"/>
        <v>0</v>
      </c>
      <c r="AT126" s="257">
        <f t="shared" si="265"/>
        <v>23112.442500000001</v>
      </c>
      <c r="AU126" s="257">
        <f t="shared" si="265"/>
        <v>0</v>
      </c>
      <c r="AV126" s="241">
        <f t="shared" si="239"/>
        <v>511880.09249999997</v>
      </c>
      <c r="AX126" s="257">
        <f>AX125*0.3675</f>
        <v>55998.18</v>
      </c>
      <c r="AY126" s="257">
        <f t="shared" ref="AY126:BC126" si="266">AY125*0.3675</f>
        <v>41104.875</v>
      </c>
      <c r="AZ126" s="257">
        <f t="shared" si="266"/>
        <v>0</v>
      </c>
      <c r="BA126" s="257">
        <f t="shared" si="266"/>
        <v>0</v>
      </c>
      <c r="BB126" s="257">
        <f t="shared" si="266"/>
        <v>7786.9574999999995</v>
      </c>
      <c r="BC126" s="257">
        <f t="shared" si="266"/>
        <v>0</v>
      </c>
      <c r="BD126" s="241">
        <f t="shared" si="240"/>
        <v>104890.0125</v>
      </c>
      <c r="BF126" s="257">
        <f>BF125*0.3675</f>
        <v>30135</v>
      </c>
      <c r="BG126" s="257">
        <f t="shared" ref="BG126:BK126" si="267">BG125*0.3675</f>
        <v>0</v>
      </c>
      <c r="BH126" s="257">
        <f t="shared" si="267"/>
        <v>0</v>
      </c>
      <c r="BI126" s="257">
        <f t="shared" si="267"/>
        <v>0</v>
      </c>
      <c r="BJ126" s="257">
        <f t="shared" si="267"/>
        <v>35831.25</v>
      </c>
      <c r="BK126" s="257">
        <f t="shared" si="267"/>
        <v>0</v>
      </c>
      <c r="BL126" s="241">
        <f t="shared" si="241"/>
        <v>65966.25</v>
      </c>
      <c r="BN126" s="241">
        <f>B126+J126+R126+Z126+AH126+AP126+AX126+BF126</f>
        <v>9235715.4051093757</v>
      </c>
      <c r="BO126" s="241">
        <f t="shared" ref="BO126:BS126" si="268">C126+K126+S126+AA126+AI126+AQ126+AY126+BG126</f>
        <v>1369468.4639999999</v>
      </c>
      <c r="BP126" s="241">
        <f t="shared" si="268"/>
        <v>0</v>
      </c>
      <c r="BQ126" s="241">
        <f t="shared" si="268"/>
        <v>0</v>
      </c>
      <c r="BR126" s="241">
        <f t="shared" si="268"/>
        <v>90618.15</v>
      </c>
      <c r="BS126" s="241">
        <f t="shared" si="268"/>
        <v>0</v>
      </c>
      <c r="BT126" s="241">
        <f t="shared" ref="BT126:BT127" si="269">SUM(BN126:BS126)</f>
        <v>10695802.019109376</v>
      </c>
      <c r="BV126" s="241">
        <v>10629671.129109377</v>
      </c>
      <c r="BW126" s="286">
        <f t="shared" si="148"/>
        <v>66130.889999998733</v>
      </c>
    </row>
    <row r="127" spans="1:75" x14ac:dyDescent="0.25">
      <c r="A127" s="201" t="s">
        <v>244</v>
      </c>
      <c r="B127" s="242">
        <f>(((7600*(B63*0.85))+((190*(B63*0.85))+((70*(B63*0.825))+(B63*50)+(B125*0.015)+(B125*0.03)))))</f>
        <v>433454.125</v>
      </c>
      <c r="C127" s="242">
        <f>(((7600*(C63*0.85))+((190*(C63*0.85))+((70*(C63*0.825))+(C63*50)+(C125*0.015)+(C125*0.03)))))</f>
        <v>79742.699999999983</v>
      </c>
      <c r="D127" s="242">
        <f t="shared" ref="D127:G127" si="270">(((7600*(D63*0.85))+((190*(D63*0.85))+((70*(D63*0.825))+(D63*50)+(D125*0.015)+(D125*0.03)))))</f>
        <v>0</v>
      </c>
      <c r="E127" s="242">
        <f t="shared" si="270"/>
        <v>0</v>
      </c>
      <c r="F127" s="242">
        <f t="shared" si="270"/>
        <v>9654.25</v>
      </c>
      <c r="G127" s="242">
        <f t="shared" si="270"/>
        <v>0</v>
      </c>
      <c r="H127" s="241">
        <f t="shared" si="234"/>
        <v>522851.07499999995</v>
      </c>
      <c r="J127" s="242">
        <f>(((7600*(J63*0.85))+((190*(J63*0.85))+((70*(J63*0.825))+(J63*50)+(J125*0.015)+(J125*0.03)))))</f>
        <v>1086997.3521562498</v>
      </c>
      <c r="K127" s="242">
        <f>(((7600*(K63*0.85))+((190*(K63*0.85))+((70*(K63*0.825))+(K63*50)+(K125*0.015)+(K125*0.03)))))</f>
        <v>221443.96600000001</v>
      </c>
      <c r="L127" s="242">
        <f t="shared" ref="L127:O127" si="271">(((7600*(L63*0.85))+((190*(L63*0.85))+((70*(L63*0.825))+(L63*50)+(L125*0.015)+(L125*0.03)))))</f>
        <v>0</v>
      </c>
      <c r="M127" s="242">
        <f t="shared" si="271"/>
        <v>0</v>
      </c>
      <c r="N127" s="242">
        <f t="shared" si="271"/>
        <v>0</v>
      </c>
      <c r="O127" s="242">
        <f t="shared" si="271"/>
        <v>0</v>
      </c>
      <c r="P127" s="241">
        <f t="shared" si="235"/>
        <v>1308441.3181562498</v>
      </c>
      <c r="R127" s="242">
        <f>(((7600*(R63*0.85))+((190*(R63*0.85))+((70*(R63*0.825))+(R63*50)+(R125*0.015)+(R125*0.03)))))</f>
        <v>489073.05999999994</v>
      </c>
      <c r="S127" s="242">
        <f>(((7600*(S63*0.85))+((190*(S63*0.85))+((70*(S63*0.825))+(S63*50)+(S125*0.015)+(S125*0.03)))))</f>
        <v>70304</v>
      </c>
      <c r="T127" s="242">
        <f t="shared" ref="T127:W127" si="272">(((7600*(T63*0.85))+((190*(T63*0.85))+((70*(T63*0.825))+(T63*50)+(T125*0.015)+(T125*0.03)))))</f>
        <v>0</v>
      </c>
      <c r="U127" s="242">
        <f t="shared" si="272"/>
        <v>0</v>
      </c>
      <c r="V127" s="242">
        <f t="shared" si="272"/>
        <v>0</v>
      </c>
      <c r="W127" s="242">
        <f t="shared" si="272"/>
        <v>0</v>
      </c>
      <c r="X127" s="241">
        <f t="shared" si="236"/>
        <v>559377.05999999994</v>
      </c>
      <c r="Z127" s="242">
        <f>(((7600*(Z63*0.85))+((190*(Z63*0.85))+((70*(Z63*0.825))+(Z63*50)+(Z125*0.015)+(Z125*0.03)))))</f>
        <v>606314.47</v>
      </c>
      <c r="AA127" s="242">
        <f>(((7600*(AA63*0.85))+((190*(AA63*0.85))+((70*(AA63*0.825))+(AA63*50)+(AA125*0.015)+(AA125*0.03)))))</f>
        <v>87497.5</v>
      </c>
      <c r="AB127" s="242">
        <f t="shared" ref="AB127:AE127" si="273">(((7600*(AB63*0.85))+((190*(AB63*0.85))+((70*(AB63*0.825))+(AB63*50)+(AB125*0.015)+(AB125*0.03)))))</f>
        <v>0</v>
      </c>
      <c r="AC127" s="242">
        <f t="shared" si="273"/>
        <v>0</v>
      </c>
      <c r="AD127" s="242">
        <f t="shared" si="273"/>
        <v>0</v>
      </c>
      <c r="AE127" s="242">
        <f t="shared" si="273"/>
        <v>0</v>
      </c>
      <c r="AF127" s="241">
        <f t="shared" si="237"/>
        <v>693811.97</v>
      </c>
      <c r="AH127" s="242">
        <f>(((7600*(AH63*0.85))+((190*(AH63*0.85))+((70*(AH63*0.825))+(AH63*50)+(AH125*0.015)+(AH125*0.03)))))</f>
        <v>1028441.275</v>
      </c>
      <c r="AI127" s="242">
        <f>(((7600*(AI63*0.85))+((190*(AI63*0.85))+((70*(AI63*0.825))+(AI63*50)+(AI125*0.015)+(AI125*0.03)))))</f>
        <v>211986.6</v>
      </c>
      <c r="AJ127" s="242">
        <f t="shared" ref="AJ127:AM127" si="274">(((7600*(AJ63*0.85))+((190*(AJ63*0.85))+((70*(AJ63*0.825))+(AJ63*50)+(AJ125*0.015)+(AJ125*0.03)))))</f>
        <v>0</v>
      </c>
      <c r="AK127" s="242">
        <f t="shared" si="274"/>
        <v>0</v>
      </c>
      <c r="AL127" s="242">
        <f t="shared" si="274"/>
        <v>0</v>
      </c>
      <c r="AM127" s="242">
        <f t="shared" si="274"/>
        <v>0</v>
      </c>
      <c r="AN127" s="241">
        <f t="shared" si="238"/>
        <v>1240427.875</v>
      </c>
      <c r="AP127" s="242">
        <f>(((7600*(AP63*0.85))+((190*(AP63*0.85))+((70*(AP63*0.825))+(AP63*50)+(AP125*0.015)+(AP125*0.03)))))</f>
        <v>198058.34999999998</v>
      </c>
      <c r="AQ127" s="242">
        <f>(((7600*(AQ63*0.85))+((190*(AQ63*0.85))+((70*(AQ63*0.825))+(AQ63*50)+(AQ125*0.015)+(AQ125*0.03)))))</f>
        <v>9834.25</v>
      </c>
      <c r="AR127" s="242">
        <f t="shared" ref="AR127:AU127" si="275">(((7600*(AR63*0.85))+((190*(AR63*0.85))+((70*(AR63*0.825))+(AR63*50)+(AR125*0.015)+(AR125*0.03)))))</f>
        <v>0</v>
      </c>
      <c r="AS127" s="242">
        <f t="shared" si="275"/>
        <v>0</v>
      </c>
      <c r="AT127" s="242">
        <f t="shared" si="275"/>
        <v>16288.595000000001</v>
      </c>
      <c r="AU127" s="242">
        <f t="shared" si="275"/>
        <v>0</v>
      </c>
      <c r="AV127" s="241">
        <f t="shared" si="239"/>
        <v>224181.19499999998</v>
      </c>
      <c r="AX127" s="244">
        <f>(((7600*(AX63*0.85))+((190*(AX63*0.85))+((70*(AX63*0.825))+(AX63*50)+(AX125*0.015)+(AX125*0.03)))))</f>
        <v>27044.67</v>
      </c>
      <c r="AY127" s="244">
        <f>(((7600*(AY63*0.85))+((190*(AY63*0.85))+((70*(AY63*0.825))+(AY63*50)+(AY125*0.015)+(AY125*0.03)))))</f>
        <v>18491.75</v>
      </c>
      <c r="AZ127" s="244">
        <f t="shared" ref="AZ127:BC127" si="276">(((7600*(AZ63*0.85))+((190*(AZ63*0.85))+((70*(AZ63*0.825))+(AZ63*50)+(AZ125*0.015)+(AZ125*0.03)))))</f>
        <v>0</v>
      </c>
      <c r="BA127" s="244">
        <f t="shared" si="276"/>
        <v>0</v>
      </c>
      <c r="BB127" s="244">
        <f t="shared" si="276"/>
        <v>7682.7550000000001</v>
      </c>
      <c r="BC127" s="244">
        <f t="shared" si="276"/>
        <v>0</v>
      </c>
      <c r="BD127" s="241">
        <f t="shared" si="240"/>
        <v>53219.174999999996</v>
      </c>
      <c r="BF127" s="244">
        <f>BF125*0.175</f>
        <v>14349.999999999998</v>
      </c>
      <c r="BG127" s="244">
        <f t="shared" ref="BG127:BK127" si="277">BG125*0.175</f>
        <v>0</v>
      </c>
      <c r="BH127" s="244">
        <f t="shared" si="277"/>
        <v>0</v>
      </c>
      <c r="BI127" s="244">
        <f t="shared" si="277"/>
        <v>0</v>
      </c>
      <c r="BJ127" s="244">
        <f t="shared" si="277"/>
        <v>17062.5</v>
      </c>
      <c r="BK127" s="244">
        <f t="shared" si="277"/>
        <v>0</v>
      </c>
      <c r="BL127" s="241">
        <f t="shared" si="241"/>
        <v>31412.5</v>
      </c>
      <c r="BN127" s="241">
        <f t="shared" ref="BN127:BN131" si="278">B127+J127+R127+Z127+AH127+AP127+AX127+BF127</f>
        <v>3883733.30215625</v>
      </c>
      <c r="BO127" s="241">
        <f t="shared" ref="BO127:BO131" si="279">C127+K127+S127+AA127+AI127+AQ127+AY127+BG127</f>
        <v>699300.76599999995</v>
      </c>
      <c r="BP127" s="241">
        <f t="shared" ref="BP127:BP131" si="280">D127+L127+T127+AB127+AJ127+AR127+AZ127+BH127</f>
        <v>0</v>
      </c>
      <c r="BQ127" s="241">
        <f t="shared" ref="BQ127:BQ131" si="281">E127+M127+U127+AC127+AK127+AS127+BA127+BI127</f>
        <v>0</v>
      </c>
      <c r="BR127" s="241">
        <f t="shared" ref="BR127:BR131" si="282">F127+N127+V127+AD127+AL127+AT127+BB127+BJ127</f>
        <v>50688.1</v>
      </c>
      <c r="BS127" s="241">
        <f t="shared" ref="BS127:BS131" si="283">G127+O127+W127+AE127+AM127+AU127+BC127+BK127</f>
        <v>0</v>
      </c>
      <c r="BT127" s="241">
        <f t="shared" si="269"/>
        <v>4633722.1681562494</v>
      </c>
      <c r="BV127" s="241">
        <v>4618765.2581562493</v>
      </c>
      <c r="BW127" s="286">
        <f t="shared" si="148"/>
        <v>14956.910000000149</v>
      </c>
    </row>
    <row r="128" spans="1:75" x14ac:dyDescent="0.25">
      <c r="A128" s="201" t="s">
        <v>245</v>
      </c>
      <c r="B128" s="242">
        <f>(1250*B36)+((1500*(B41+B43))+(500*B50)+((1500*(B54+B55+B56))+(1250*B59)))</f>
        <v>56000</v>
      </c>
      <c r="C128" s="242">
        <f>(1250*C36)+((1500*(C41+C43))+(500*C50)+((1500*(C54+C55+C56))+(1250*C59)))+(3*1000)</f>
        <v>12750</v>
      </c>
      <c r="D128" s="242">
        <f t="shared" ref="D128:G128" si="284">(1250*D36)+((1500*(D41+D43))+(500*D50)+((1500*(D54+D55+D56))+(1250*D59)))</f>
        <v>0</v>
      </c>
      <c r="E128" s="242">
        <f t="shared" si="284"/>
        <v>0</v>
      </c>
      <c r="F128" s="242">
        <f t="shared" si="284"/>
        <v>1500</v>
      </c>
      <c r="G128" s="242">
        <f t="shared" si="284"/>
        <v>0</v>
      </c>
      <c r="H128" s="241">
        <f t="shared" si="234"/>
        <v>70250</v>
      </c>
      <c r="J128" s="242">
        <f>(1250*J36)+((1500*(J41+J43))+(500*J50)+((1500*(J54+J55+J56))+(1250*J59)))</f>
        <v>139750</v>
      </c>
      <c r="K128" s="242">
        <f>(1250*K36)+((1500*(K41+K43))+(500*K50)+((1500*(K54+K55+K56))+(1250*K59)))+(3*1000)</f>
        <v>29750</v>
      </c>
      <c r="L128" s="242">
        <f t="shared" ref="L128:O128" si="285">(1250*L36)+((1500*(L41+L43))+(500*L50)+((1500*(L54+L55+L56))+(1250*L59)))</f>
        <v>0</v>
      </c>
      <c r="M128" s="242">
        <f t="shared" si="285"/>
        <v>0</v>
      </c>
      <c r="N128" s="242">
        <f t="shared" si="285"/>
        <v>0</v>
      </c>
      <c r="O128" s="242">
        <f t="shared" si="285"/>
        <v>0</v>
      </c>
      <c r="P128" s="241">
        <f t="shared" si="235"/>
        <v>169500</v>
      </c>
      <c r="R128" s="242">
        <f>(1250*R36)+((1500*(R41+R43))+(500*R50)+((1500*(R54+R55+R56))+(1250*R59)))</f>
        <v>61250</v>
      </c>
      <c r="S128" s="242">
        <f t="shared" ref="S128:W128" si="286">(1250*S36)+((1500*(S41+S43))+(500*S50)+((1500*(S54+S55+S56))+(1250*S59)))</f>
        <v>9250</v>
      </c>
      <c r="T128" s="242">
        <f t="shared" si="286"/>
        <v>0</v>
      </c>
      <c r="U128" s="242">
        <f t="shared" si="286"/>
        <v>0</v>
      </c>
      <c r="V128" s="242">
        <f t="shared" si="286"/>
        <v>0</v>
      </c>
      <c r="W128" s="242">
        <f t="shared" si="286"/>
        <v>0</v>
      </c>
      <c r="X128" s="241">
        <f t="shared" si="236"/>
        <v>70500</v>
      </c>
      <c r="Z128" s="242">
        <f>(1250*Z36)+((1500*(Z41+Z43))+(500*Z50)+((1500*(Z54+Z55+Z56))+(1250*Z59)))</f>
        <v>79500</v>
      </c>
      <c r="AA128" s="242">
        <f t="shared" ref="AA128:AE128" si="287">(1250*AA36)+((1500*(AA41+AA43))+(500*AA50)+((1500*(AA54+AA55+AA56))+(1250*AA59)))</f>
        <v>12500</v>
      </c>
      <c r="AB128" s="242">
        <f t="shared" si="287"/>
        <v>0</v>
      </c>
      <c r="AC128" s="242">
        <f t="shared" si="287"/>
        <v>0</v>
      </c>
      <c r="AD128" s="242">
        <f t="shared" si="287"/>
        <v>0</v>
      </c>
      <c r="AE128" s="242">
        <f t="shared" si="287"/>
        <v>0</v>
      </c>
      <c r="AF128" s="241">
        <f t="shared" si="237"/>
        <v>92000</v>
      </c>
      <c r="AH128" s="242">
        <f>(1250*AH36)+((1500*(AH41+AH43))+(500*AH50)+((1500*(AH54+AH55+AH56))+(1250*AH59)))</f>
        <v>135750</v>
      </c>
      <c r="AI128" s="242">
        <f t="shared" ref="AI128:AM128" si="288">(1250*AI36)+((1500*(AI41+AI43))+(500*AI50)+((1500*(AI54+AI55+AI56))+(1250*AI59)))</f>
        <v>22500</v>
      </c>
      <c r="AJ128" s="242">
        <f t="shared" si="288"/>
        <v>0</v>
      </c>
      <c r="AK128" s="242">
        <f t="shared" si="288"/>
        <v>0</v>
      </c>
      <c r="AL128" s="242">
        <f t="shared" si="288"/>
        <v>0</v>
      </c>
      <c r="AM128" s="242">
        <f t="shared" si="288"/>
        <v>0</v>
      </c>
      <c r="AN128" s="241">
        <f t="shared" si="238"/>
        <v>158250</v>
      </c>
      <c r="AP128" s="242">
        <f>(1250*AP36)+((1500*(AP41+AP43))+(500*AP50)+((1500*(AP54+AP55+AP56))+(1250*AP59)))</f>
        <v>25000</v>
      </c>
      <c r="AQ128" s="242">
        <f t="shared" ref="AQ128:AU128" si="289">(1250*AQ36)+((1500*(AQ41+AQ43))+(500*AQ50)+((1500*(AQ54+AQ55+AQ56))+(1250*AQ59)))</f>
        <v>2750</v>
      </c>
      <c r="AR128" s="242">
        <f t="shared" si="289"/>
        <v>0</v>
      </c>
      <c r="AS128" s="242">
        <f t="shared" si="289"/>
        <v>0</v>
      </c>
      <c r="AT128" s="242">
        <f t="shared" si="289"/>
        <v>1000</v>
      </c>
      <c r="AU128" s="242">
        <f t="shared" si="289"/>
        <v>0</v>
      </c>
      <c r="AV128" s="241">
        <f t="shared" si="239"/>
        <v>28750</v>
      </c>
      <c r="AX128" s="242">
        <f>(1250*AX36)+((1500*(AX41+AX43))+(500*AX50)+((1500*(AX54+AX55+AX56))+(1250*AX59)))</f>
        <v>2500</v>
      </c>
      <c r="AY128" s="242">
        <f t="shared" ref="AY128:BC128" si="290">(1250*AY36)+((1500*(AY41+AY43))+(500*AY50)+((1500*(AY54+AY55+AY56))+(1250*AY59)))</f>
        <v>1750</v>
      </c>
      <c r="AZ128" s="242">
        <f t="shared" si="290"/>
        <v>0</v>
      </c>
      <c r="BA128" s="242">
        <f t="shared" si="290"/>
        <v>0</v>
      </c>
      <c r="BB128" s="242">
        <f t="shared" si="290"/>
        <v>500</v>
      </c>
      <c r="BC128" s="242">
        <f t="shared" si="290"/>
        <v>0</v>
      </c>
      <c r="BD128" s="241">
        <f t="shared" si="240"/>
        <v>4750</v>
      </c>
      <c r="BF128" s="242">
        <f>(1250*BF36)+((1500*(BF41+BF43))+(500*BF50)+((1500*(BF54+BF55+BF56))+(1250*BF59)))</f>
        <v>1250</v>
      </c>
      <c r="BG128" s="242">
        <f t="shared" ref="BG128:BK128" si="291">(1250*BG36)+((1500*(BG41+BG43))+(500*BG50)+((1500*(BG54+BG55+BG56))+(1250*BG59)))</f>
        <v>0</v>
      </c>
      <c r="BH128" s="242">
        <f t="shared" si="291"/>
        <v>0</v>
      </c>
      <c r="BI128" s="242">
        <f t="shared" si="291"/>
        <v>0</v>
      </c>
      <c r="BJ128" s="242">
        <f t="shared" si="291"/>
        <v>1500</v>
      </c>
      <c r="BK128" s="242">
        <f t="shared" si="291"/>
        <v>0</v>
      </c>
      <c r="BL128" s="241">
        <f t="shared" ref="BL128:BL129" si="292">SUM(BF128:BK128)</f>
        <v>2750</v>
      </c>
      <c r="BN128" s="241">
        <f t="shared" si="278"/>
        <v>501000</v>
      </c>
      <c r="BO128" s="241">
        <f t="shared" si="279"/>
        <v>91250</v>
      </c>
      <c r="BP128" s="241">
        <f t="shared" si="280"/>
        <v>0</v>
      </c>
      <c r="BQ128" s="241">
        <f t="shared" si="281"/>
        <v>0</v>
      </c>
      <c r="BR128" s="241">
        <f t="shared" si="282"/>
        <v>4500</v>
      </c>
      <c r="BS128" s="241">
        <f t="shared" si="283"/>
        <v>0</v>
      </c>
      <c r="BT128" s="241">
        <f t="shared" ref="BT128:BT129" si="293">SUM(BN128:BS128)</f>
        <v>596750</v>
      </c>
      <c r="BV128" s="241">
        <v>589500</v>
      </c>
      <c r="BW128" s="286">
        <f t="shared" si="148"/>
        <v>7250</v>
      </c>
    </row>
    <row r="129" spans="1:75" x14ac:dyDescent="0.25">
      <c r="A129" s="201" t="s">
        <v>246</v>
      </c>
      <c r="B129" s="242">
        <f>(175*B36)+((175*(B41+B43))+(75*B50)+((175*(B54+B55+B56))+(1250*B59)))*1.09</f>
        <v>9055.25</v>
      </c>
      <c r="C129" s="242">
        <f t="shared" ref="C129:G129" si="294">(175*C36)+((175*(C41+C43))+(75*C50)+((175*(C54+C55+C56))+(1250*C59)))*1.09</f>
        <v>1392.75</v>
      </c>
      <c r="D129" s="242">
        <f t="shared" si="294"/>
        <v>0</v>
      </c>
      <c r="E129" s="242">
        <f t="shared" si="294"/>
        <v>0</v>
      </c>
      <c r="F129" s="242">
        <f t="shared" si="294"/>
        <v>190.75</v>
      </c>
      <c r="G129" s="242">
        <f t="shared" si="294"/>
        <v>0</v>
      </c>
      <c r="H129" s="241">
        <f t="shared" si="234"/>
        <v>10638.75</v>
      </c>
      <c r="J129" s="242">
        <f>(175*J36)+((175*(J41+J43))+(75*J50)+((175*(J54+J55+J56))+(1250*J59)))*1.09</f>
        <v>23168</v>
      </c>
      <c r="K129" s="242">
        <f t="shared" ref="K129:O129" si="295">(175*K36)+((175*(K41+K43))+(75*K50)+((175*(K54+K55+K56))+(1250*K59)))*1.09</f>
        <v>3828.25</v>
      </c>
      <c r="L129" s="242">
        <f t="shared" si="295"/>
        <v>0</v>
      </c>
      <c r="M129" s="242">
        <f t="shared" si="295"/>
        <v>0</v>
      </c>
      <c r="N129" s="242">
        <f t="shared" si="295"/>
        <v>0</v>
      </c>
      <c r="O129" s="242">
        <f t="shared" si="295"/>
        <v>0</v>
      </c>
      <c r="P129" s="241">
        <f t="shared" si="235"/>
        <v>26996.25</v>
      </c>
      <c r="R129" s="242">
        <f>(175*R36)+((175*(R41+R43))+(75*R50)+((175*(R54+R55+R56))+(1250*R59)))*1.09</f>
        <v>9825.5</v>
      </c>
      <c r="S129" s="242">
        <f t="shared" ref="S129:W129" si="296">(175*S36)+((175*(S41+S43))+(75*S50)+((175*(S54+S55+S56))+(1250*S59)))*1.09</f>
        <v>1313.125</v>
      </c>
      <c r="T129" s="242">
        <f t="shared" si="296"/>
        <v>0</v>
      </c>
      <c r="U129" s="242">
        <f t="shared" si="296"/>
        <v>0</v>
      </c>
      <c r="V129" s="242">
        <f t="shared" si="296"/>
        <v>0</v>
      </c>
      <c r="W129" s="242">
        <f t="shared" si="296"/>
        <v>0</v>
      </c>
      <c r="X129" s="241">
        <f t="shared" si="236"/>
        <v>11138.625</v>
      </c>
      <c r="Z129" s="242">
        <f>(175*Z36)+((175*(Z41+Z43))+(75*Z50)+((175*(Z54+Z55+Z56))+(1250*Z59)))*1.09</f>
        <v>13506</v>
      </c>
      <c r="AA129" s="242">
        <f t="shared" ref="AA129:AE129" si="297">(175*AA36)+((175*(AA41+AA43))+(75*AA50)+((175*(AA54+AA55+AA56))+(1250*AA59)))*1.09</f>
        <v>1760.625</v>
      </c>
      <c r="AB129" s="242">
        <f t="shared" si="297"/>
        <v>0</v>
      </c>
      <c r="AC129" s="242">
        <f t="shared" si="297"/>
        <v>0</v>
      </c>
      <c r="AD129" s="242">
        <f t="shared" si="297"/>
        <v>0</v>
      </c>
      <c r="AE129" s="242">
        <f t="shared" si="297"/>
        <v>0</v>
      </c>
      <c r="AF129" s="241">
        <f t="shared" si="237"/>
        <v>15266.625</v>
      </c>
      <c r="AH129" s="242">
        <f>(175*AH36)+((175*(AH41+AH43))+(75*AH50)+((175*(AH54+AH55+AH56))+(1250*AH59)))*1.09</f>
        <v>23781.125</v>
      </c>
      <c r="AI129" s="242">
        <f t="shared" ref="AI129:AM129" si="298">(175*AI36)+((175*(AI41+AI43))+(75*AI50)+((175*(AI54+AI55+AI56))+(1250*AI59)))*1.09</f>
        <v>3271.75</v>
      </c>
      <c r="AJ129" s="242">
        <f t="shared" si="298"/>
        <v>0</v>
      </c>
      <c r="AK129" s="242">
        <f t="shared" si="298"/>
        <v>0</v>
      </c>
      <c r="AL129" s="242">
        <f t="shared" si="298"/>
        <v>0</v>
      </c>
      <c r="AM129" s="242">
        <f t="shared" si="298"/>
        <v>0</v>
      </c>
      <c r="AN129" s="241">
        <f t="shared" si="238"/>
        <v>27052.875</v>
      </c>
      <c r="AP129" s="242">
        <f>(175*AP36)+((175*(AP41+AP43))+(75*AP50)+((175*(AP54+AP55+AP56))+(1250*AP59)))*1.09</f>
        <v>3504.25</v>
      </c>
      <c r="AQ129" s="242">
        <f t="shared" ref="AQ129:AU129" si="299">(175*AQ36)+((175*(AQ41+AQ43))+(75*AQ50)+((175*(AQ54+AQ55+AQ56))+(1250*AQ59)))*1.09</f>
        <v>365.75</v>
      </c>
      <c r="AR129" s="242">
        <f t="shared" si="299"/>
        <v>0</v>
      </c>
      <c r="AS129" s="242">
        <f t="shared" si="299"/>
        <v>0</v>
      </c>
      <c r="AT129" s="242">
        <f t="shared" si="299"/>
        <v>163.5</v>
      </c>
      <c r="AU129" s="242">
        <f t="shared" si="299"/>
        <v>0</v>
      </c>
      <c r="AV129" s="241">
        <f t="shared" si="239"/>
        <v>4033.5</v>
      </c>
      <c r="AX129" s="242">
        <f>(175*AX36)+((175*(AX41+AX43))+(75*AX50)+((175*(AX54+AX55+AX56))+(1250*AX59)))*1.09</f>
        <v>354.25</v>
      </c>
      <c r="AY129" s="242">
        <f t="shared" ref="AY129:BC129" si="300">(175*AY36)+((175*(AY41+AY43))+(75*AY50)+((175*(AY54+AY55+AY56))+(1250*AY59)))*1.09</f>
        <v>256.75</v>
      </c>
      <c r="AZ129" s="242">
        <f t="shared" si="300"/>
        <v>0</v>
      </c>
      <c r="BA129" s="242">
        <f t="shared" si="300"/>
        <v>0</v>
      </c>
      <c r="BB129" s="242">
        <f t="shared" si="300"/>
        <v>81.75</v>
      </c>
      <c r="BC129" s="242">
        <f t="shared" si="300"/>
        <v>0</v>
      </c>
      <c r="BD129" s="241">
        <f t="shared" si="240"/>
        <v>692.75</v>
      </c>
      <c r="BF129" s="242">
        <f>(175*BF36)+((175*(BF41+BF43))+(75*BF50)+((175*(BF54+BF55+BF56))+(1250*BF59)))*1.09</f>
        <v>175</v>
      </c>
      <c r="BG129" s="242">
        <f t="shared" ref="BG129:BK129" si="301">(175*BG36)+((175*(BG41+BG43))+(75*BG50)+((175*(BG54+BG55+BG56))+(1250*BG59)))*1.09</f>
        <v>0</v>
      </c>
      <c r="BH129" s="242">
        <f t="shared" si="301"/>
        <v>0</v>
      </c>
      <c r="BI129" s="242">
        <f t="shared" si="301"/>
        <v>0</v>
      </c>
      <c r="BJ129" s="242">
        <f t="shared" si="301"/>
        <v>190.75</v>
      </c>
      <c r="BK129" s="242">
        <f t="shared" si="301"/>
        <v>0</v>
      </c>
      <c r="BL129" s="241">
        <f t="shared" si="292"/>
        <v>365.75</v>
      </c>
      <c r="BN129" s="241">
        <f t="shared" si="278"/>
        <v>83369.375</v>
      </c>
      <c r="BO129" s="241">
        <f t="shared" si="279"/>
        <v>12189</v>
      </c>
      <c r="BP129" s="241">
        <f t="shared" si="280"/>
        <v>0</v>
      </c>
      <c r="BQ129" s="241">
        <f t="shared" si="281"/>
        <v>0</v>
      </c>
      <c r="BR129" s="241">
        <f t="shared" si="282"/>
        <v>626.75</v>
      </c>
      <c r="BS129" s="241">
        <f t="shared" si="283"/>
        <v>0</v>
      </c>
      <c r="BT129" s="241">
        <f t="shared" si="293"/>
        <v>96185.125</v>
      </c>
      <c r="BV129" s="241">
        <v>96010.125</v>
      </c>
      <c r="BW129" s="286">
        <f t="shared" si="148"/>
        <v>175</v>
      </c>
    </row>
    <row r="130" spans="1:75" x14ac:dyDescent="0.25">
      <c r="A130" s="201" t="s">
        <v>247</v>
      </c>
      <c r="B130" s="244"/>
      <c r="C130" s="244"/>
      <c r="D130" s="244"/>
      <c r="E130" s="244"/>
      <c r="F130" s="244"/>
      <c r="G130" s="244"/>
      <c r="H130" s="241">
        <f t="shared" si="234"/>
        <v>0</v>
      </c>
      <c r="J130" s="244">
        <v>0</v>
      </c>
      <c r="K130" s="244"/>
      <c r="L130" s="244"/>
      <c r="M130" s="244"/>
      <c r="N130" s="244">
        <v>0</v>
      </c>
      <c r="O130" s="244"/>
      <c r="P130" s="241">
        <f t="shared" si="235"/>
        <v>0</v>
      </c>
      <c r="R130" s="244">
        <v>0</v>
      </c>
      <c r="S130" s="244"/>
      <c r="T130" s="244"/>
      <c r="U130" s="244"/>
      <c r="V130" s="244">
        <v>0</v>
      </c>
      <c r="W130" s="244"/>
      <c r="X130" s="241">
        <f t="shared" si="236"/>
        <v>0</v>
      </c>
      <c r="Z130" s="244">
        <v>0</v>
      </c>
      <c r="AA130" s="244"/>
      <c r="AB130" s="244"/>
      <c r="AC130" s="244"/>
      <c r="AD130" s="244">
        <v>0</v>
      </c>
      <c r="AE130" s="244"/>
      <c r="AF130" s="241">
        <f t="shared" si="237"/>
        <v>0</v>
      </c>
      <c r="AH130" s="244">
        <v>0</v>
      </c>
      <c r="AI130" s="244"/>
      <c r="AJ130" s="244"/>
      <c r="AK130" s="244"/>
      <c r="AL130" s="244">
        <v>0</v>
      </c>
      <c r="AM130" s="244"/>
      <c r="AN130" s="241">
        <f t="shared" si="238"/>
        <v>0</v>
      </c>
      <c r="AP130" s="279">
        <v>2500</v>
      </c>
      <c r="AQ130" s="244"/>
      <c r="AR130" s="244"/>
      <c r="AS130" s="244"/>
      <c r="AT130" s="244">
        <v>0</v>
      </c>
      <c r="AU130" s="244"/>
      <c r="AV130" s="241">
        <f t="shared" si="239"/>
        <v>2500</v>
      </c>
      <c r="AX130" s="244">
        <f>(120*(AX17+10)*12)+6000+15000+7000</f>
        <v>244000</v>
      </c>
      <c r="AY130" s="244">
        <v>20500</v>
      </c>
      <c r="AZ130" s="244"/>
      <c r="BA130" s="244"/>
      <c r="BB130" s="244">
        <v>0</v>
      </c>
      <c r="BC130" s="244"/>
      <c r="BD130" s="241">
        <f t="shared" si="240"/>
        <v>264500</v>
      </c>
      <c r="BF130" s="244"/>
      <c r="BG130" s="244"/>
      <c r="BH130" s="244"/>
      <c r="BI130" s="244"/>
      <c r="BJ130" s="244"/>
      <c r="BK130" s="244"/>
      <c r="BL130" s="241">
        <f t="shared" si="241"/>
        <v>0</v>
      </c>
      <c r="BN130" s="241">
        <f t="shared" si="278"/>
        <v>246500</v>
      </c>
      <c r="BO130" s="241">
        <f t="shared" si="279"/>
        <v>20500</v>
      </c>
      <c r="BP130" s="241">
        <f t="shared" si="280"/>
        <v>0</v>
      </c>
      <c r="BQ130" s="241">
        <f t="shared" si="281"/>
        <v>0</v>
      </c>
      <c r="BR130" s="241">
        <f t="shared" si="282"/>
        <v>0</v>
      </c>
      <c r="BS130" s="241">
        <f t="shared" si="283"/>
        <v>0</v>
      </c>
      <c r="BT130" s="241">
        <f t="shared" ref="BT130:BT131" si="302">SUM(BN130:BS130)</f>
        <v>267000</v>
      </c>
      <c r="BV130" s="241">
        <v>264500</v>
      </c>
      <c r="BW130" s="286">
        <f t="shared" si="148"/>
        <v>2500</v>
      </c>
    </row>
    <row r="131" spans="1:75" x14ac:dyDescent="0.25">
      <c r="A131" s="202" t="s">
        <v>248</v>
      </c>
      <c r="B131" s="245">
        <v>10000</v>
      </c>
      <c r="C131" s="245"/>
      <c r="D131" s="245"/>
      <c r="E131" s="245"/>
      <c r="F131" s="245"/>
      <c r="G131" s="245"/>
      <c r="H131" s="262">
        <f t="shared" si="234"/>
        <v>10000</v>
      </c>
      <c r="J131" s="245">
        <v>15000</v>
      </c>
      <c r="K131" s="245"/>
      <c r="L131" s="245"/>
      <c r="M131" s="245"/>
      <c r="N131" s="245"/>
      <c r="O131" s="245"/>
      <c r="P131" s="262">
        <f t="shared" si="235"/>
        <v>15000</v>
      </c>
      <c r="R131" s="245">
        <v>15000</v>
      </c>
      <c r="S131" s="245"/>
      <c r="T131" s="245"/>
      <c r="U131" s="245"/>
      <c r="V131" s="245"/>
      <c r="W131" s="245"/>
      <c r="X131" s="262">
        <f t="shared" si="236"/>
        <v>15000</v>
      </c>
      <c r="Z131" s="245">
        <v>15000</v>
      </c>
      <c r="AA131" s="245"/>
      <c r="AB131" s="245"/>
      <c r="AC131" s="245"/>
      <c r="AD131" s="245"/>
      <c r="AE131" s="245"/>
      <c r="AF131" s="262">
        <f t="shared" si="237"/>
        <v>15000</v>
      </c>
      <c r="AH131" s="245">
        <v>15000</v>
      </c>
      <c r="AI131" s="245"/>
      <c r="AJ131" s="245"/>
      <c r="AK131" s="245"/>
      <c r="AL131" s="245"/>
      <c r="AM131" s="245"/>
      <c r="AN131" s="262">
        <f t="shared" si="238"/>
        <v>15000</v>
      </c>
      <c r="AP131" s="245">
        <v>3000</v>
      </c>
      <c r="AQ131" s="245"/>
      <c r="AR131" s="245"/>
      <c r="AS131" s="245"/>
      <c r="AT131" s="245"/>
      <c r="AU131" s="245"/>
      <c r="AV131" s="262">
        <f t="shared" si="239"/>
        <v>3000</v>
      </c>
      <c r="AX131" s="245">
        <v>2000</v>
      </c>
      <c r="AY131" s="245"/>
      <c r="AZ131" s="245"/>
      <c r="BA131" s="245"/>
      <c r="BB131" s="245"/>
      <c r="BC131" s="245"/>
      <c r="BD131" s="262">
        <f t="shared" si="240"/>
        <v>2000</v>
      </c>
      <c r="BF131" s="245"/>
      <c r="BG131" s="245"/>
      <c r="BH131" s="245"/>
      <c r="BI131" s="245"/>
      <c r="BJ131" s="245"/>
      <c r="BK131" s="245"/>
      <c r="BL131" s="262">
        <f t="shared" si="241"/>
        <v>0</v>
      </c>
      <c r="BN131" s="241">
        <f t="shared" si="278"/>
        <v>75000</v>
      </c>
      <c r="BO131" s="241">
        <f t="shared" si="279"/>
        <v>0</v>
      </c>
      <c r="BP131" s="241">
        <f t="shared" si="280"/>
        <v>0</v>
      </c>
      <c r="BQ131" s="241">
        <f t="shared" si="281"/>
        <v>0</v>
      </c>
      <c r="BR131" s="241">
        <f t="shared" si="282"/>
        <v>0</v>
      </c>
      <c r="BS131" s="241">
        <f t="shared" si="283"/>
        <v>0</v>
      </c>
      <c r="BT131" s="262">
        <f t="shared" si="302"/>
        <v>75000</v>
      </c>
      <c r="BV131" s="262">
        <v>75000</v>
      </c>
      <c r="BW131" s="286">
        <f t="shared" si="148"/>
        <v>0</v>
      </c>
    </row>
    <row r="132" spans="1:75" x14ac:dyDescent="0.25">
      <c r="A132" s="207" t="s">
        <v>330</v>
      </c>
      <c r="B132" s="258">
        <f>SUM(B126:B131)</f>
        <v>1520429.8125</v>
      </c>
      <c r="C132" s="258">
        <f t="shared" ref="C132:H132" si="303">SUM(C126:C131)</f>
        <v>250517.62499999997</v>
      </c>
      <c r="D132" s="258">
        <f t="shared" si="303"/>
        <v>0</v>
      </c>
      <c r="E132" s="258">
        <f t="shared" si="303"/>
        <v>0</v>
      </c>
      <c r="F132" s="258">
        <f t="shared" si="303"/>
        <v>35232.5</v>
      </c>
      <c r="G132" s="258">
        <f t="shared" si="303"/>
        <v>0</v>
      </c>
      <c r="H132" s="258">
        <f t="shared" si="303"/>
        <v>1806179.9375</v>
      </c>
      <c r="J132" s="258">
        <f>SUM(J126:J131)</f>
        <v>3877128.6447656248</v>
      </c>
      <c r="K132" s="258">
        <f t="shared" ref="K132:P132" si="304">SUM(K126:K131)</f>
        <v>689592.73</v>
      </c>
      <c r="L132" s="258">
        <f t="shared" si="304"/>
        <v>0</v>
      </c>
      <c r="M132" s="258">
        <f t="shared" si="304"/>
        <v>0</v>
      </c>
      <c r="N132" s="258">
        <f t="shared" si="304"/>
        <v>0</v>
      </c>
      <c r="O132" s="258">
        <f t="shared" si="304"/>
        <v>0</v>
      </c>
      <c r="P132" s="258">
        <f t="shared" si="304"/>
        <v>4566721.3747656252</v>
      </c>
      <c r="R132" s="258">
        <f>SUM(R126:R131)</f>
        <v>1711557.0499999998</v>
      </c>
      <c r="S132" s="258">
        <f t="shared" ref="S132:X132" si="305">SUM(S126:S131)</f>
        <v>215372.125</v>
      </c>
      <c r="T132" s="258">
        <f t="shared" si="305"/>
        <v>0</v>
      </c>
      <c r="U132" s="258">
        <f t="shared" si="305"/>
        <v>0</v>
      </c>
      <c r="V132" s="258">
        <f t="shared" si="305"/>
        <v>0</v>
      </c>
      <c r="W132" s="258">
        <f t="shared" si="305"/>
        <v>0</v>
      </c>
      <c r="X132" s="258">
        <f t="shared" si="305"/>
        <v>1926929.1749999998</v>
      </c>
      <c r="Z132" s="258">
        <f>SUM(Z126:Z131)</f>
        <v>2148733.9749999996</v>
      </c>
      <c r="AA132" s="258">
        <f t="shared" ref="AA132:AF132" si="306">SUM(AA126:AA131)</f>
        <v>266765.625</v>
      </c>
      <c r="AB132" s="258">
        <f t="shared" si="306"/>
        <v>0</v>
      </c>
      <c r="AC132" s="258">
        <f t="shared" si="306"/>
        <v>0</v>
      </c>
      <c r="AD132" s="258">
        <f t="shared" si="306"/>
        <v>0</v>
      </c>
      <c r="AE132" s="258">
        <f t="shared" si="306"/>
        <v>0</v>
      </c>
      <c r="AF132" s="258">
        <f t="shared" si="306"/>
        <v>2415499.5999999996</v>
      </c>
      <c r="AH132" s="258">
        <f>SUM(AH126:AH131)</f>
        <v>3694188.75</v>
      </c>
      <c r="AI132" s="258">
        <f t="shared" ref="AI132:AN132" si="307">SUM(AI126:AI131)</f>
        <v>650049.25</v>
      </c>
      <c r="AJ132" s="258">
        <f t="shared" si="307"/>
        <v>0</v>
      </c>
      <c r="AK132" s="258">
        <f t="shared" si="307"/>
        <v>0</v>
      </c>
      <c r="AL132" s="258">
        <f t="shared" si="307"/>
        <v>0</v>
      </c>
      <c r="AM132" s="258">
        <f t="shared" si="307"/>
        <v>0</v>
      </c>
      <c r="AN132" s="258">
        <f t="shared" si="307"/>
        <v>4344238</v>
      </c>
      <c r="AP132" s="258">
        <f>SUM(AP126:AP131)</f>
        <v>695472.75</v>
      </c>
      <c r="AQ132" s="258">
        <f t="shared" ref="AQ132:AV132" si="308">SUM(AQ126:AQ131)</f>
        <v>38307.5</v>
      </c>
      <c r="AR132" s="258">
        <f t="shared" si="308"/>
        <v>0</v>
      </c>
      <c r="AS132" s="258">
        <f t="shared" si="308"/>
        <v>0</v>
      </c>
      <c r="AT132" s="258">
        <f t="shared" si="308"/>
        <v>40564.537500000006</v>
      </c>
      <c r="AU132" s="258">
        <f t="shared" si="308"/>
        <v>0</v>
      </c>
      <c r="AV132" s="258">
        <f t="shared" si="308"/>
        <v>774344.78749999998</v>
      </c>
      <c r="AX132" s="258">
        <f>SUM(AX126:AX131)</f>
        <v>331897.09999999998</v>
      </c>
      <c r="AY132" s="258">
        <f t="shared" ref="AY132:BD132" si="309">SUM(AY126:AY131)</f>
        <v>82103.375</v>
      </c>
      <c r="AZ132" s="258">
        <f t="shared" si="309"/>
        <v>0</v>
      </c>
      <c r="BA132" s="258">
        <f t="shared" si="309"/>
        <v>0</v>
      </c>
      <c r="BB132" s="258">
        <f t="shared" si="309"/>
        <v>16051.4625</v>
      </c>
      <c r="BC132" s="258">
        <f t="shared" si="309"/>
        <v>0</v>
      </c>
      <c r="BD132" s="258">
        <f t="shared" si="309"/>
        <v>430051.9375</v>
      </c>
      <c r="BF132" s="258">
        <f>SUM(BF126:BF131)</f>
        <v>45910</v>
      </c>
      <c r="BG132" s="258">
        <f t="shared" ref="BG132:BL132" si="310">SUM(BG126:BG131)</f>
        <v>0</v>
      </c>
      <c r="BH132" s="258">
        <f t="shared" si="310"/>
        <v>0</v>
      </c>
      <c r="BI132" s="258">
        <f t="shared" si="310"/>
        <v>0</v>
      </c>
      <c r="BJ132" s="258">
        <f t="shared" si="310"/>
        <v>54584.5</v>
      </c>
      <c r="BK132" s="258">
        <f t="shared" si="310"/>
        <v>0</v>
      </c>
      <c r="BL132" s="258">
        <f t="shared" si="310"/>
        <v>100494.5</v>
      </c>
      <c r="BN132" s="258">
        <f>SUM(BN126:BN131)</f>
        <v>14025318.082265627</v>
      </c>
      <c r="BO132" s="258">
        <f t="shared" ref="BO132:BT132" si="311">SUM(BO126:BO131)</f>
        <v>2192708.23</v>
      </c>
      <c r="BP132" s="258">
        <f t="shared" si="311"/>
        <v>0</v>
      </c>
      <c r="BQ132" s="258">
        <f t="shared" si="311"/>
        <v>0</v>
      </c>
      <c r="BR132" s="258">
        <f t="shared" si="311"/>
        <v>146433</v>
      </c>
      <c r="BS132" s="258">
        <f t="shared" si="311"/>
        <v>0</v>
      </c>
      <c r="BT132" s="258">
        <f t="shared" si="311"/>
        <v>16364459.312265625</v>
      </c>
      <c r="BV132" s="258">
        <v>16273446.512265626</v>
      </c>
      <c r="BW132" s="286">
        <f t="shared" si="148"/>
        <v>91012.799999998882</v>
      </c>
    </row>
    <row r="133" spans="1:75" x14ac:dyDescent="0.25">
      <c r="B133" s="263"/>
      <c r="C133" s="263"/>
      <c r="D133" s="263"/>
      <c r="E133" s="263"/>
      <c r="F133" s="263"/>
      <c r="G133" s="263"/>
      <c r="H133" s="263"/>
      <c r="J133" s="263"/>
      <c r="K133" s="263"/>
      <c r="L133" s="263"/>
      <c r="M133" s="263"/>
      <c r="N133" s="263"/>
      <c r="O133" s="263"/>
      <c r="P133" s="263"/>
      <c r="R133" s="263"/>
      <c r="S133" s="263"/>
      <c r="T133" s="263"/>
      <c r="U133" s="263"/>
      <c r="V133" s="263"/>
      <c r="W133" s="263"/>
      <c r="X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P133" s="263"/>
      <c r="AQ133" s="263"/>
      <c r="AR133" s="263"/>
      <c r="AS133" s="263"/>
      <c r="AT133" s="263"/>
      <c r="AU133" s="263"/>
      <c r="AV133" s="263"/>
      <c r="AX133" s="263"/>
      <c r="AY133" s="263"/>
      <c r="AZ133" s="263"/>
      <c r="BA133" s="263"/>
      <c r="BB133" s="263"/>
      <c r="BC133" s="263"/>
      <c r="BD133" s="263"/>
      <c r="BF133" s="263"/>
      <c r="BG133" s="263"/>
      <c r="BH133" s="263"/>
      <c r="BI133" s="263"/>
      <c r="BJ133" s="263"/>
      <c r="BK133" s="263"/>
      <c r="BL133" s="263"/>
      <c r="BN133" s="263"/>
      <c r="BO133" s="263"/>
      <c r="BP133" s="263"/>
      <c r="BQ133" s="263"/>
      <c r="BR133" s="263"/>
      <c r="BS133" s="263"/>
      <c r="BT133" s="263"/>
      <c r="BV133" s="263"/>
      <c r="BW133" s="286">
        <f t="shared" si="148"/>
        <v>0</v>
      </c>
    </row>
    <row r="134" spans="1:75" x14ac:dyDescent="0.25">
      <c r="A134" s="208" t="s">
        <v>330</v>
      </c>
      <c r="B134" s="260" t="s">
        <v>309</v>
      </c>
      <c r="C134" s="260" t="s">
        <v>310</v>
      </c>
      <c r="D134" s="260" t="s">
        <v>311</v>
      </c>
      <c r="E134" s="260" t="str">
        <f>E118</f>
        <v>Other</v>
      </c>
      <c r="F134" s="260" t="s">
        <v>315</v>
      </c>
      <c r="G134" s="260" t="s">
        <v>314</v>
      </c>
      <c r="H134" s="260" t="s">
        <v>320</v>
      </c>
      <c r="J134" s="260" t="s">
        <v>309</v>
      </c>
      <c r="K134" s="260" t="s">
        <v>310</v>
      </c>
      <c r="L134" s="260" t="s">
        <v>311</v>
      </c>
      <c r="M134" s="260" t="str">
        <f>M118</f>
        <v>Other</v>
      </c>
      <c r="N134" s="260" t="s">
        <v>315</v>
      </c>
      <c r="O134" s="260" t="s">
        <v>314</v>
      </c>
      <c r="P134" s="260" t="str">
        <f>P118</f>
        <v>Cadence</v>
      </c>
      <c r="R134" s="260" t="s">
        <v>309</v>
      </c>
      <c r="S134" s="260" t="s">
        <v>310</v>
      </c>
      <c r="T134" s="260" t="s">
        <v>311</v>
      </c>
      <c r="U134" s="260" t="str">
        <f>U118</f>
        <v>Other</v>
      </c>
      <c r="V134" s="260" t="s">
        <v>315</v>
      </c>
      <c r="W134" s="260" t="s">
        <v>314</v>
      </c>
      <c r="X134" s="260" t="str">
        <f>X118</f>
        <v>St. Rose</v>
      </c>
      <c r="Z134" s="260" t="s">
        <v>309</v>
      </c>
      <c r="AA134" s="260" t="s">
        <v>310</v>
      </c>
      <c r="AB134" s="260" t="s">
        <v>311</v>
      </c>
      <c r="AC134" s="260" t="str">
        <f>AC118</f>
        <v>Other</v>
      </c>
      <c r="AD134" s="260" t="s">
        <v>315</v>
      </c>
      <c r="AE134" s="260" t="s">
        <v>314</v>
      </c>
      <c r="AF134" s="260" t="str">
        <f>AF118</f>
        <v>Inspirada</v>
      </c>
      <c r="AH134" s="260" t="s">
        <v>309</v>
      </c>
      <c r="AI134" s="260" t="s">
        <v>310</v>
      </c>
      <c r="AJ134" s="260" t="s">
        <v>311</v>
      </c>
      <c r="AK134" s="260" t="str">
        <f>AK118</f>
        <v>Other</v>
      </c>
      <c r="AL134" s="260" t="s">
        <v>315</v>
      </c>
      <c r="AM134" s="260" t="s">
        <v>314</v>
      </c>
      <c r="AN134" s="260" t="str">
        <f>AN118</f>
        <v>Sloan</v>
      </c>
      <c r="AP134" s="260" t="s">
        <v>309</v>
      </c>
      <c r="AQ134" s="260" t="s">
        <v>310</v>
      </c>
      <c r="AR134" s="260" t="s">
        <v>311</v>
      </c>
      <c r="AS134" s="260" t="str">
        <f>AS118</f>
        <v>Other</v>
      </c>
      <c r="AT134" s="260" t="s">
        <v>315</v>
      </c>
      <c r="AU134" s="260" t="s">
        <v>314</v>
      </c>
      <c r="AV134" s="260" t="str">
        <f>AV118</f>
        <v>Springs</v>
      </c>
      <c r="AX134" s="260" t="s">
        <v>309</v>
      </c>
      <c r="AY134" s="260" t="s">
        <v>310</v>
      </c>
      <c r="AZ134" s="260" t="s">
        <v>311</v>
      </c>
      <c r="BA134" s="260" t="str">
        <f>BA118</f>
        <v>Other</v>
      </c>
      <c r="BB134" s="260" t="s">
        <v>315</v>
      </c>
      <c r="BC134" s="260" t="s">
        <v>314</v>
      </c>
      <c r="BD134" s="260" t="str">
        <f>BD118</f>
        <v>Virtual</v>
      </c>
      <c r="BF134" s="260" t="s">
        <v>309</v>
      </c>
      <c r="BG134" s="260" t="s">
        <v>310</v>
      </c>
      <c r="BH134" s="260" t="s">
        <v>311</v>
      </c>
      <c r="BI134" s="260" t="str">
        <f>BI118</f>
        <v>Other</v>
      </c>
      <c r="BJ134" s="260" t="s">
        <v>315</v>
      </c>
      <c r="BK134" s="260" t="s">
        <v>314</v>
      </c>
      <c r="BL134" s="260" t="str">
        <f>BL118</f>
        <v>Central</v>
      </c>
      <c r="BN134" s="260" t="s">
        <v>309</v>
      </c>
      <c r="BO134" s="260" t="s">
        <v>310</v>
      </c>
      <c r="BP134" s="260" t="s">
        <v>311</v>
      </c>
      <c r="BQ134" s="260" t="str">
        <f>BQ118</f>
        <v>Other</v>
      </c>
      <c r="BR134" s="260" t="s">
        <v>315</v>
      </c>
      <c r="BS134" s="260" t="s">
        <v>314</v>
      </c>
      <c r="BT134" s="260" t="str">
        <f>BT118</f>
        <v>System</v>
      </c>
      <c r="BV134" s="260" t="s">
        <v>320</v>
      </c>
      <c r="BW134" s="286" t="e">
        <f t="shared" si="148"/>
        <v>#VALUE!</v>
      </c>
    </row>
    <row r="135" spans="1:75" x14ac:dyDescent="0.25">
      <c r="A135" s="209" t="s">
        <v>252</v>
      </c>
      <c r="B135" s="257">
        <f>(225*950)</f>
        <v>213750</v>
      </c>
      <c r="C135" s="257"/>
      <c r="D135" s="257"/>
      <c r="E135" s="257"/>
      <c r="F135" s="257"/>
      <c r="G135" s="257"/>
      <c r="H135" s="257">
        <f>SUM(B135:G135)</f>
        <v>213750</v>
      </c>
      <c r="J135" s="257">
        <f>(225*2500)</f>
        <v>562500</v>
      </c>
      <c r="L135" s="257"/>
      <c r="M135" s="257"/>
      <c r="N135" s="257"/>
      <c r="O135" s="257"/>
      <c r="P135" s="257">
        <f>SUM(J135:O135)</f>
        <v>562500</v>
      </c>
      <c r="R135" s="257">
        <f>(225*1050)</f>
        <v>236250</v>
      </c>
      <c r="S135" s="257"/>
      <c r="T135" s="257"/>
      <c r="U135" s="257"/>
      <c r="V135" s="257"/>
      <c r="W135" s="257"/>
      <c r="X135" s="257">
        <f>SUM(R135:W135)</f>
        <v>236250</v>
      </c>
      <c r="Z135" s="257">
        <f>(225*1200)</f>
        <v>270000</v>
      </c>
      <c r="AA135" s="257"/>
      <c r="AB135" s="257"/>
      <c r="AC135" s="257"/>
      <c r="AD135" s="257"/>
      <c r="AE135" s="257"/>
      <c r="AF135" s="257">
        <f>SUM(Z135:AE135)</f>
        <v>270000</v>
      </c>
      <c r="AH135" s="257">
        <f>(225*2450)</f>
        <v>551250</v>
      </c>
      <c r="AI135" s="257"/>
      <c r="AJ135" s="257"/>
      <c r="AK135" s="257"/>
      <c r="AL135" s="257"/>
      <c r="AM135" s="257"/>
      <c r="AN135" s="257">
        <f>SUM(AH135:AM135)</f>
        <v>551250</v>
      </c>
      <c r="AP135" s="257">
        <f>(225*400)</f>
        <v>90000</v>
      </c>
      <c r="AQ135" s="257"/>
      <c r="AR135" s="257"/>
      <c r="AS135" s="257"/>
      <c r="AT135" s="257"/>
      <c r="AU135" s="257"/>
      <c r="AV135" s="257">
        <f>SUM(AP135:AU135)</f>
        <v>90000</v>
      </c>
      <c r="AX135" s="257">
        <f>(450*150)</f>
        <v>67500</v>
      </c>
      <c r="AY135" s="257"/>
      <c r="AZ135" s="257"/>
      <c r="BA135" s="257"/>
      <c r="BB135" s="257"/>
      <c r="BC135" s="257"/>
      <c r="BD135" s="257">
        <f>SUM(AX135:BC135)</f>
        <v>67500</v>
      </c>
      <c r="BF135" s="257"/>
      <c r="BG135" s="257"/>
      <c r="BH135" s="257"/>
      <c r="BI135" s="257"/>
      <c r="BJ135" s="257"/>
      <c r="BK135" s="257"/>
      <c r="BL135" s="257">
        <f>SUM(BF135:BK135)</f>
        <v>0</v>
      </c>
      <c r="BN135" s="241">
        <f>B135+J135+R135+Z135+AH135+AP135+AX135+BF135</f>
        <v>1991250</v>
      </c>
      <c r="BO135" s="241">
        <f t="shared" ref="BO135:BS135" si="312">C135+K135+S135+AA135+AI135+AQ135+AY135+BG135</f>
        <v>0</v>
      </c>
      <c r="BP135" s="241">
        <f t="shared" si="312"/>
        <v>0</v>
      </c>
      <c r="BQ135" s="241">
        <f t="shared" si="312"/>
        <v>0</v>
      </c>
      <c r="BR135" s="241">
        <f t="shared" si="312"/>
        <v>0</v>
      </c>
      <c r="BS135" s="241">
        <f t="shared" si="312"/>
        <v>0</v>
      </c>
      <c r="BT135" s="257">
        <f>SUM(BN135:BS135)</f>
        <v>1991250</v>
      </c>
      <c r="BV135" s="257">
        <v>1991250</v>
      </c>
      <c r="BW135" s="286">
        <f t="shared" si="148"/>
        <v>0</v>
      </c>
    </row>
    <row r="136" spans="1:75" x14ac:dyDescent="0.25">
      <c r="A136" s="210" t="s">
        <v>253</v>
      </c>
      <c r="B136" s="244"/>
      <c r="C136" s="244"/>
      <c r="D136" s="244"/>
      <c r="E136" s="244"/>
      <c r="F136" s="244"/>
      <c r="G136" s="244"/>
      <c r="H136" s="257">
        <f t="shared" ref="H136:H140" si="313">SUM(B136:G136)</f>
        <v>0</v>
      </c>
      <c r="J136" s="244">
        <v>450000</v>
      </c>
      <c r="K136" s="244"/>
      <c r="L136" s="244"/>
      <c r="M136" s="244"/>
      <c r="N136" s="244"/>
      <c r="O136" s="244"/>
      <c r="P136" s="257">
        <f t="shared" ref="P136:P140" si="314">SUM(J136:O136)</f>
        <v>450000</v>
      </c>
      <c r="R136" s="244"/>
      <c r="S136" s="244"/>
      <c r="T136" s="244"/>
      <c r="U136" s="244"/>
      <c r="V136" s="244"/>
      <c r="W136" s="244"/>
      <c r="X136" s="257">
        <f t="shared" ref="X136:X140" si="315">SUM(R136:W136)</f>
        <v>0</v>
      </c>
      <c r="Z136" s="244"/>
      <c r="AA136" s="244"/>
      <c r="AB136" s="244"/>
      <c r="AC136" s="244"/>
      <c r="AD136" s="244"/>
      <c r="AE136" s="244"/>
      <c r="AF136" s="257">
        <f t="shared" ref="AF136:AF140" si="316">SUM(Z136:AE136)</f>
        <v>0</v>
      </c>
      <c r="AH136" s="244">
        <v>400000</v>
      </c>
      <c r="AI136" s="244"/>
      <c r="AJ136" s="244"/>
      <c r="AK136" s="244"/>
      <c r="AL136" s="244"/>
      <c r="AM136" s="244"/>
      <c r="AN136" s="257">
        <f t="shared" ref="AN136:AN140" si="317">SUM(AH136:AM136)</f>
        <v>400000</v>
      </c>
      <c r="AP136" s="244"/>
      <c r="AQ136" s="244"/>
      <c r="AR136" s="244"/>
      <c r="AS136" s="244"/>
      <c r="AT136" s="244"/>
      <c r="AU136" s="244"/>
      <c r="AV136" s="257">
        <f t="shared" ref="AV136:AV140" si="318">SUM(AP136:AU136)</f>
        <v>0</v>
      </c>
      <c r="AX136" s="244">
        <v>30000</v>
      </c>
      <c r="AY136" s="244"/>
      <c r="AZ136" s="244"/>
      <c r="BA136" s="244"/>
      <c r="BB136" s="244"/>
      <c r="BC136" s="244"/>
      <c r="BD136" s="257">
        <f t="shared" ref="BD136:BD140" si="319">SUM(AX136:BC136)</f>
        <v>30000</v>
      </c>
      <c r="BF136" s="244"/>
      <c r="BG136" s="244"/>
      <c r="BH136" s="244"/>
      <c r="BI136" s="244"/>
      <c r="BJ136" s="244"/>
      <c r="BK136" s="244"/>
      <c r="BL136" s="257">
        <f t="shared" ref="BL136:BL140" si="320">SUM(BF136:BK136)</f>
        <v>0</v>
      </c>
      <c r="BN136" s="241">
        <f t="shared" ref="BN136:BN140" si="321">B136+J136+R136+Z136+AH136+AP136+AX136+BF136</f>
        <v>880000</v>
      </c>
      <c r="BO136" s="241">
        <f t="shared" ref="BO136:BO140" si="322">C136+K136+S136+AA136+AI136+AQ136+AY136+BG136</f>
        <v>0</v>
      </c>
      <c r="BP136" s="241">
        <f t="shared" ref="BP136:BP140" si="323">D136+L136+T136+AB136+AJ136+AR136+AZ136+BH136</f>
        <v>0</v>
      </c>
      <c r="BQ136" s="241">
        <f t="shared" ref="BQ136:BQ140" si="324">E136+M136+U136+AC136+AK136+AS136+BA136+BI136</f>
        <v>0</v>
      </c>
      <c r="BR136" s="241">
        <f t="shared" ref="BR136:BR140" si="325">F136+N136+V136+AD136+AL136+AT136+BB136+BJ136</f>
        <v>0</v>
      </c>
      <c r="BS136" s="241">
        <f t="shared" ref="BS136:BS140" si="326">G136+O136+W136+AE136+AM136+AU136+BC136+BK136</f>
        <v>0</v>
      </c>
      <c r="BT136" s="257">
        <f t="shared" ref="BT136:BT140" si="327">SUM(BN136:BS136)</f>
        <v>880000</v>
      </c>
      <c r="BV136" s="257">
        <v>880000</v>
      </c>
      <c r="BW136" s="286">
        <f t="shared" si="148"/>
        <v>0</v>
      </c>
    </row>
    <row r="137" spans="1:75" ht="30.75" customHeight="1" x14ac:dyDescent="0.25">
      <c r="A137" s="340" t="s">
        <v>254</v>
      </c>
      <c r="B137" s="244"/>
      <c r="C137" s="244"/>
      <c r="D137" s="244"/>
      <c r="E137" s="244">
        <v>26500</v>
      </c>
      <c r="F137" s="244"/>
      <c r="G137" s="244"/>
      <c r="H137" s="257">
        <f t="shared" si="313"/>
        <v>26500</v>
      </c>
      <c r="J137" s="244">
        <f>1300*100</f>
        <v>130000</v>
      </c>
      <c r="K137" s="244"/>
      <c r="L137" s="244"/>
      <c r="M137" s="244">
        <v>80000</v>
      </c>
      <c r="N137" s="244"/>
      <c r="O137" s="244"/>
      <c r="P137" s="257">
        <f t="shared" si="314"/>
        <v>210000</v>
      </c>
      <c r="R137" s="244"/>
      <c r="S137" s="244"/>
      <c r="T137" s="244"/>
      <c r="U137" s="244">
        <v>330000</v>
      </c>
      <c r="V137" s="244"/>
      <c r="W137" s="244"/>
      <c r="X137" s="257">
        <f t="shared" si="315"/>
        <v>330000</v>
      </c>
      <c r="Z137" s="244"/>
      <c r="AA137" s="244"/>
      <c r="AB137" s="244"/>
      <c r="AC137" s="244">
        <v>450000</v>
      </c>
      <c r="AD137" s="244"/>
      <c r="AE137" s="244"/>
      <c r="AF137" s="257">
        <f t="shared" si="316"/>
        <v>450000</v>
      </c>
      <c r="AH137" s="244">
        <f>1500*100</f>
        <v>150000</v>
      </c>
      <c r="AI137" s="244"/>
      <c r="AJ137" s="244"/>
      <c r="AK137" s="244">
        <v>100000</v>
      </c>
      <c r="AL137" s="244"/>
      <c r="AM137" s="244"/>
      <c r="AN137" s="257">
        <f t="shared" si="317"/>
        <v>250000</v>
      </c>
      <c r="AP137" s="244">
        <f>(50*1500)+50000+25000</f>
        <v>150000</v>
      </c>
      <c r="AQ137" s="244"/>
      <c r="AR137" s="244"/>
      <c r="AS137" s="244">
        <v>15500</v>
      </c>
      <c r="AT137" s="244"/>
      <c r="AU137" s="244"/>
      <c r="AV137" s="257">
        <f t="shared" si="318"/>
        <v>165500</v>
      </c>
      <c r="AX137" s="244">
        <v>0</v>
      </c>
      <c r="AY137" s="244"/>
      <c r="AZ137" s="244"/>
      <c r="BA137" s="244"/>
      <c r="BB137" s="244"/>
      <c r="BC137" s="244"/>
      <c r="BD137" s="257">
        <f t="shared" si="319"/>
        <v>0</v>
      </c>
      <c r="BF137" s="244"/>
      <c r="BG137" s="244"/>
      <c r="BH137" s="244"/>
      <c r="BI137" s="244"/>
      <c r="BJ137" s="244">
        <v>290000</v>
      </c>
      <c r="BK137" s="244"/>
      <c r="BL137" s="257">
        <f t="shared" si="320"/>
        <v>290000</v>
      </c>
      <c r="BN137" s="241">
        <f t="shared" si="321"/>
        <v>430000</v>
      </c>
      <c r="BO137" s="241">
        <f t="shared" si="322"/>
        <v>0</v>
      </c>
      <c r="BP137" s="241">
        <f t="shared" si="323"/>
        <v>0</v>
      </c>
      <c r="BQ137" s="241">
        <f t="shared" si="324"/>
        <v>1002000</v>
      </c>
      <c r="BR137" s="241">
        <f t="shared" si="325"/>
        <v>290000</v>
      </c>
      <c r="BS137" s="241">
        <f t="shared" si="326"/>
        <v>0</v>
      </c>
      <c r="BT137" s="257">
        <f t="shared" si="327"/>
        <v>1722000</v>
      </c>
      <c r="BV137" s="257">
        <v>1722000</v>
      </c>
      <c r="BW137" s="286">
        <f t="shared" si="148"/>
        <v>0</v>
      </c>
    </row>
    <row r="138" spans="1:75" x14ac:dyDescent="0.25">
      <c r="A138" s="211" t="s">
        <v>255</v>
      </c>
      <c r="B138" s="244">
        <f>35*B17</f>
        <v>31850</v>
      </c>
      <c r="C138" s="244"/>
      <c r="D138" s="244"/>
      <c r="E138" s="244"/>
      <c r="F138" s="244"/>
      <c r="G138" s="244"/>
      <c r="H138" s="257">
        <f t="shared" si="313"/>
        <v>31850</v>
      </c>
      <c r="J138" s="244">
        <f>35*J17</f>
        <v>87010</v>
      </c>
      <c r="K138" s="244"/>
      <c r="L138" s="244"/>
      <c r="M138" s="244"/>
      <c r="N138" s="244"/>
      <c r="O138" s="244"/>
      <c r="P138" s="257">
        <f t="shared" si="314"/>
        <v>87010</v>
      </c>
      <c r="R138" s="244">
        <f>35*R17</f>
        <v>36050</v>
      </c>
      <c r="S138" s="244"/>
      <c r="T138" s="244"/>
      <c r="U138" s="244"/>
      <c r="V138" s="244"/>
      <c r="W138" s="244"/>
      <c r="X138" s="257">
        <f t="shared" si="315"/>
        <v>36050</v>
      </c>
      <c r="Z138" s="244">
        <f>35*Z17</f>
        <v>41440</v>
      </c>
      <c r="AA138" s="244"/>
      <c r="AB138" s="244"/>
      <c r="AC138" s="244"/>
      <c r="AD138" s="244"/>
      <c r="AE138" s="244"/>
      <c r="AF138" s="257">
        <f t="shared" si="316"/>
        <v>41440</v>
      </c>
      <c r="AH138" s="244">
        <f>35*AH17+20000</f>
        <v>104560</v>
      </c>
      <c r="AI138" s="244"/>
      <c r="AJ138" s="244"/>
      <c r="AK138" s="244"/>
      <c r="AL138" s="244"/>
      <c r="AM138" s="244"/>
      <c r="AN138" s="257">
        <f t="shared" si="317"/>
        <v>104560</v>
      </c>
      <c r="AP138" s="244">
        <f>35*AP17</f>
        <v>12950</v>
      </c>
      <c r="AQ138" s="244"/>
      <c r="AR138" s="244"/>
      <c r="AS138" s="244"/>
      <c r="AT138" s="244"/>
      <c r="AU138" s="244"/>
      <c r="AV138" s="257">
        <f t="shared" si="318"/>
        <v>12950</v>
      </c>
      <c r="AX138" s="244">
        <f>25*AX17</f>
        <v>3500</v>
      </c>
      <c r="AY138" s="244"/>
      <c r="AZ138" s="244"/>
      <c r="BA138" s="244"/>
      <c r="BB138" s="244"/>
      <c r="BC138" s="244"/>
      <c r="BD138" s="257">
        <f t="shared" si="319"/>
        <v>3500</v>
      </c>
      <c r="BF138" s="244">
        <f>35*BF17</f>
        <v>0</v>
      </c>
      <c r="BG138" s="244"/>
      <c r="BH138" s="244"/>
      <c r="BI138" s="244"/>
      <c r="BJ138" s="244"/>
      <c r="BK138" s="244"/>
      <c r="BL138" s="257">
        <f t="shared" si="320"/>
        <v>0</v>
      </c>
      <c r="BN138" s="241">
        <f t="shared" si="321"/>
        <v>317360</v>
      </c>
      <c r="BO138" s="241">
        <f t="shared" si="322"/>
        <v>0</v>
      </c>
      <c r="BP138" s="241">
        <f t="shared" si="323"/>
        <v>0</v>
      </c>
      <c r="BQ138" s="241">
        <f t="shared" si="324"/>
        <v>0</v>
      </c>
      <c r="BR138" s="241">
        <f t="shared" si="325"/>
        <v>0</v>
      </c>
      <c r="BS138" s="241">
        <f t="shared" si="326"/>
        <v>0</v>
      </c>
      <c r="BT138" s="257">
        <f t="shared" si="327"/>
        <v>317360</v>
      </c>
      <c r="BV138" s="257">
        <v>317745</v>
      </c>
      <c r="BW138" s="286">
        <f t="shared" si="148"/>
        <v>-385</v>
      </c>
    </row>
    <row r="139" spans="1:75" x14ac:dyDescent="0.25">
      <c r="A139" s="211" t="s">
        <v>256</v>
      </c>
      <c r="B139" s="244">
        <v>0</v>
      </c>
      <c r="C139" s="244"/>
      <c r="D139" s="244"/>
      <c r="E139" s="244"/>
      <c r="F139" s="244"/>
      <c r="G139" s="244"/>
      <c r="H139" s="257">
        <f t="shared" si="313"/>
        <v>0</v>
      </c>
      <c r="J139" s="244"/>
      <c r="K139" s="244"/>
      <c r="L139" s="244"/>
      <c r="M139" s="244"/>
      <c r="N139" s="244"/>
      <c r="O139" s="244"/>
      <c r="P139" s="257">
        <f t="shared" si="314"/>
        <v>0</v>
      </c>
      <c r="R139" s="244">
        <v>0</v>
      </c>
      <c r="S139" s="244"/>
      <c r="T139" s="244"/>
      <c r="U139" s="244"/>
      <c r="V139" s="244"/>
      <c r="W139" s="244"/>
      <c r="X139" s="257">
        <f t="shared" si="315"/>
        <v>0</v>
      </c>
      <c r="Z139" s="244">
        <v>0</v>
      </c>
      <c r="AA139" s="244"/>
      <c r="AB139" s="244"/>
      <c r="AC139" s="244"/>
      <c r="AD139" s="244"/>
      <c r="AE139" s="244"/>
      <c r="AF139" s="257">
        <f t="shared" si="316"/>
        <v>0</v>
      </c>
      <c r="AH139" s="244">
        <v>0</v>
      </c>
      <c r="AI139" s="244"/>
      <c r="AJ139" s="244"/>
      <c r="AK139" s="244"/>
      <c r="AL139" s="244"/>
      <c r="AM139" s="244"/>
      <c r="AN139" s="257">
        <f t="shared" si="317"/>
        <v>0</v>
      </c>
      <c r="AP139" s="244">
        <v>0</v>
      </c>
      <c r="AQ139" s="244"/>
      <c r="AR139" s="244"/>
      <c r="AS139" s="244"/>
      <c r="AT139" s="244"/>
      <c r="AU139" s="244"/>
      <c r="AV139" s="257">
        <f t="shared" si="318"/>
        <v>0</v>
      </c>
      <c r="AX139" s="244">
        <v>0</v>
      </c>
      <c r="AY139" s="244"/>
      <c r="AZ139" s="244"/>
      <c r="BA139" s="244"/>
      <c r="BB139" s="244"/>
      <c r="BC139" s="244"/>
      <c r="BD139" s="257">
        <f t="shared" si="319"/>
        <v>0</v>
      </c>
      <c r="BF139" s="244">
        <f>(22*BF17)</f>
        <v>0</v>
      </c>
      <c r="BG139" s="244"/>
      <c r="BH139" s="244"/>
      <c r="BI139" s="244"/>
      <c r="BJ139" s="244"/>
      <c r="BK139" s="244"/>
      <c r="BL139" s="257">
        <f t="shared" si="320"/>
        <v>0</v>
      </c>
      <c r="BN139" s="241">
        <f t="shared" si="321"/>
        <v>0</v>
      </c>
      <c r="BO139" s="241">
        <f t="shared" si="322"/>
        <v>0</v>
      </c>
      <c r="BP139" s="241">
        <f t="shared" si="323"/>
        <v>0</v>
      </c>
      <c r="BQ139" s="241">
        <f t="shared" si="324"/>
        <v>0</v>
      </c>
      <c r="BR139" s="241">
        <f t="shared" si="325"/>
        <v>0</v>
      </c>
      <c r="BS139" s="241">
        <f t="shared" si="326"/>
        <v>0</v>
      </c>
      <c r="BT139" s="257">
        <f t="shared" si="327"/>
        <v>0</v>
      </c>
      <c r="BV139" s="257">
        <v>0</v>
      </c>
      <c r="BW139" s="286">
        <f t="shared" si="148"/>
        <v>0</v>
      </c>
    </row>
    <row r="140" spans="1:75" x14ac:dyDescent="0.25">
      <c r="A140" s="212" t="s">
        <v>257</v>
      </c>
      <c r="B140" s="245"/>
      <c r="C140" s="245">
        <f>175*C21</f>
        <v>19600</v>
      </c>
      <c r="D140" s="245"/>
      <c r="E140" s="245"/>
      <c r="F140" s="245"/>
      <c r="G140" s="245"/>
      <c r="H140" s="257">
        <f t="shared" si="313"/>
        <v>19600</v>
      </c>
      <c r="J140" s="245"/>
      <c r="K140" s="245">
        <f>175*K21</f>
        <v>49875</v>
      </c>
      <c r="L140" s="245"/>
      <c r="M140" s="245"/>
      <c r="N140" s="245"/>
      <c r="O140" s="245"/>
      <c r="P140" s="257">
        <f t="shared" si="314"/>
        <v>49875</v>
      </c>
      <c r="R140" s="245"/>
      <c r="S140" s="245">
        <f>175*S21</f>
        <v>14000</v>
      </c>
      <c r="T140" s="245"/>
      <c r="U140" s="245"/>
      <c r="V140" s="245"/>
      <c r="W140" s="245"/>
      <c r="X140" s="257">
        <f t="shared" si="315"/>
        <v>14000</v>
      </c>
      <c r="Z140" s="245"/>
      <c r="AA140" s="245">
        <f>175*AA21</f>
        <v>17500</v>
      </c>
      <c r="AB140" s="245"/>
      <c r="AC140" s="245"/>
      <c r="AD140" s="245"/>
      <c r="AE140" s="245"/>
      <c r="AF140" s="257">
        <f t="shared" si="316"/>
        <v>17500</v>
      </c>
      <c r="AH140" s="245"/>
      <c r="AI140" s="245">
        <f>175*AI21</f>
        <v>34475</v>
      </c>
      <c r="AJ140" s="245"/>
      <c r="AK140" s="245"/>
      <c r="AL140" s="245"/>
      <c r="AM140" s="245"/>
      <c r="AN140" s="257">
        <f t="shared" si="317"/>
        <v>34475</v>
      </c>
      <c r="AP140" s="245"/>
      <c r="AQ140" s="245">
        <f>175*AQ21</f>
        <v>4900</v>
      </c>
      <c r="AR140" s="245"/>
      <c r="AS140" s="245"/>
      <c r="AT140" s="245"/>
      <c r="AU140" s="245"/>
      <c r="AV140" s="257">
        <f t="shared" si="318"/>
        <v>4900</v>
      </c>
      <c r="AX140" s="245"/>
      <c r="AY140" s="245">
        <f>175*AY21</f>
        <v>3675</v>
      </c>
      <c r="AZ140" s="245"/>
      <c r="BA140" s="245"/>
      <c r="BB140" s="245"/>
      <c r="BC140" s="245"/>
      <c r="BD140" s="257">
        <f t="shared" si="319"/>
        <v>3675</v>
      </c>
      <c r="BF140" s="245"/>
      <c r="BG140" s="245">
        <f>175*BG21</f>
        <v>0</v>
      </c>
      <c r="BH140" s="245"/>
      <c r="BI140" s="245"/>
      <c r="BJ140" s="245"/>
      <c r="BK140" s="245"/>
      <c r="BL140" s="257">
        <f t="shared" si="320"/>
        <v>0</v>
      </c>
      <c r="BN140" s="241">
        <f t="shared" si="321"/>
        <v>0</v>
      </c>
      <c r="BO140" s="241">
        <f t="shared" si="322"/>
        <v>144025</v>
      </c>
      <c r="BP140" s="241">
        <f t="shared" si="323"/>
        <v>0</v>
      </c>
      <c r="BQ140" s="241">
        <f t="shared" si="324"/>
        <v>0</v>
      </c>
      <c r="BR140" s="241">
        <f t="shared" si="325"/>
        <v>0</v>
      </c>
      <c r="BS140" s="241">
        <f t="shared" si="326"/>
        <v>0</v>
      </c>
      <c r="BT140" s="257">
        <f t="shared" si="327"/>
        <v>144025</v>
      </c>
      <c r="BV140" s="257">
        <v>144025</v>
      </c>
      <c r="BW140" s="286">
        <f t="shared" si="148"/>
        <v>0</v>
      </c>
    </row>
    <row r="141" spans="1:75" x14ac:dyDescent="0.25">
      <c r="A141" s="213"/>
      <c r="B141" s="258">
        <f>SUM(B135:B140)</f>
        <v>245600</v>
      </c>
      <c r="C141" s="258">
        <f t="shared" ref="C141:H141" si="328">SUM(C135:C140)</f>
        <v>19600</v>
      </c>
      <c r="D141" s="258">
        <f t="shared" si="328"/>
        <v>0</v>
      </c>
      <c r="E141" s="258">
        <f t="shared" si="328"/>
        <v>26500</v>
      </c>
      <c r="F141" s="258">
        <f t="shared" si="328"/>
        <v>0</v>
      </c>
      <c r="G141" s="258">
        <f t="shared" si="328"/>
        <v>0</v>
      </c>
      <c r="H141" s="258">
        <f t="shared" si="328"/>
        <v>291700</v>
      </c>
      <c r="J141" s="258">
        <f>SUM(J135:J140)</f>
        <v>1229510</v>
      </c>
      <c r="K141" s="258">
        <f>SUM(K134:K140)</f>
        <v>49875</v>
      </c>
      <c r="L141" s="258">
        <f t="shared" ref="L141:P141" si="329">SUM(L135:L140)</f>
        <v>0</v>
      </c>
      <c r="M141" s="258">
        <f t="shared" si="329"/>
        <v>80000</v>
      </c>
      <c r="N141" s="258">
        <f t="shared" si="329"/>
        <v>0</v>
      </c>
      <c r="O141" s="258">
        <f t="shared" si="329"/>
        <v>0</v>
      </c>
      <c r="P141" s="258">
        <f t="shared" si="329"/>
        <v>1359385</v>
      </c>
      <c r="R141" s="258">
        <f>SUM(R135:R140)</f>
        <v>272300</v>
      </c>
      <c r="S141" s="258">
        <f t="shared" ref="S141:X141" si="330">SUM(S135:S140)</f>
        <v>14000</v>
      </c>
      <c r="T141" s="258">
        <f t="shared" si="330"/>
        <v>0</v>
      </c>
      <c r="U141" s="258">
        <f t="shared" si="330"/>
        <v>330000</v>
      </c>
      <c r="V141" s="258">
        <f t="shared" si="330"/>
        <v>0</v>
      </c>
      <c r="W141" s="258">
        <f t="shared" si="330"/>
        <v>0</v>
      </c>
      <c r="X141" s="258">
        <f t="shared" si="330"/>
        <v>616300</v>
      </c>
      <c r="Z141" s="258">
        <f>SUM(Z135:Z140)</f>
        <v>311440</v>
      </c>
      <c r="AA141" s="258">
        <f t="shared" ref="AA141:AF141" si="331">SUM(AA135:AA140)</f>
        <v>17500</v>
      </c>
      <c r="AB141" s="258">
        <f t="shared" si="331"/>
        <v>0</v>
      </c>
      <c r="AC141" s="258">
        <f t="shared" si="331"/>
        <v>450000</v>
      </c>
      <c r="AD141" s="258">
        <f t="shared" si="331"/>
        <v>0</v>
      </c>
      <c r="AE141" s="258">
        <f t="shared" si="331"/>
        <v>0</v>
      </c>
      <c r="AF141" s="258">
        <f t="shared" si="331"/>
        <v>778940</v>
      </c>
      <c r="AH141" s="258">
        <f>SUM(AH135:AH140)</f>
        <v>1205810</v>
      </c>
      <c r="AI141" s="258">
        <f t="shared" ref="AI141:AN141" si="332">SUM(AI135:AI140)</f>
        <v>34475</v>
      </c>
      <c r="AJ141" s="258">
        <f t="shared" si="332"/>
        <v>0</v>
      </c>
      <c r="AK141" s="258">
        <f t="shared" si="332"/>
        <v>100000</v>
      </c>
      <c r="AL141" s="258">
        <f t="shared" si="332"/>
        <v>0</v>
      </c>
      <c r="AM141" s="258">
        <f t="shared" si="332"/>
        <v>0</v>
      </c>
      <c r="AN141" s="258">
        <f t="shared" si="332"/>
        <v>1340285</v>
      </c>
      <c r="AP141" s="258">
        <f>SUM(AP135:AP140)</f>
        <v>252950</v>
      </c>
      <c r="AQ141" s="258">
        <f t="shared" ref="AQ141:AV141" si="333">SUM(AQ135:AQ140)</f>
        <v>4900</v>
      </c>
      <c r="AR141" s="258">
        <f t="shared" si="333"/>
        <v>0</v>
      </c>
      <c r="AS141" s="258">
        <f t="shared" si="333"/>
        <v>15500</v>
      </c>
      <c r="AT141" s="258">
        <f t="shared" si="333"/>
        <v>0</v>
      </c>
      <c r="AU141" s="258">
        <f t="shared" si="333"/>
        <v>0</v>
      </c>
      <c r="AV141" s="258">
        <f t="shared" si="333"/>
        <v>273350</v>
      </c>
      <c r="AX141" s="258">
        <f>SUM(AX135:AX140)</f>
        <v>101000</v>
      </c>
      <c r="AY141" s="258">
        <f t="shared" ref="AY141:BD141" si="334">SUM(AY135:AY140)</f>
        <v>3675</v>
      </c>
      <c r="AZ141" s="258">
        <f t="shared" si="334"/>
        <v>0</v>
      </c>
      <c r="BA141" s="258">
        <f t="shared" si="334"/>
        <v>0</v>
      </c>
      <c r="BB141" s="258">
        <f t="shared" si="334"/>
        <v>0</v>
      </c>
      <c r="BC141" s="258">
        <f t="shared" si="334"/>
        <v>0</v>
      </c>
      <c r="BD141" s="258">
        <f t="shared" si="334"/>
        <v>104675</v>
      </c>
      <c r="BF141" s="258">
        <f>SUM(BF135:BF140)</f>
        <v>0</v>
      </c>
      <c r="BG141" s="258">
        <f t="shared" ref="BG141:BL141" si="335">SUM(BG135:BG140)</f>
        <v>0</v>
      </c>
      <c r="BH141" s="258">
        <f t="shared" si="335"/>
        <v>0</v>
      </c>
      <c r="BI141" s="258">
        <f t="shared" si="335"/>
        <v>0</v>
      </c>
      <c r="BJ141" s="258">
        <f t="shared" si="335"/>
        <v>290000</v>
      </c>
      <c r="BK141" s="258">
        <f t="shared" si="335"/>
        <v>0</v>
      </c>
      <c r="BL141" s="258">
        <f t="shared" si="335"/>
        <v>290000</v>
      </c>
      <c r="BN141" s="258">
        <f>SUM(BN135:BN140)</f>
        <v>3618610</v>
      </c>
      <c r="BO141" s="258">
        <f t="shared" ref="BO141:BT141" si="336">SUM(BO135:BO140)</f>
        <v>144025</v>
      </c>
      <c r="BP141" s="258">
        <f t="shared" si="336"/>
        <v>0</v>
      </c>
      <c r="BQ141" s="258">
        <f t="shared" si="336"/>
        <v>1002000</v>
      </c>
      <c r="BR141" s="258">
        <f t="shared" si="336"/>
        <v>290000</v>
      </c>
      <c r="BS141" s="258">
        <f t="shared" si="336"/>
        <v>0</v>
      </c>
      <c r="BT141" s="258">
        <f t="shared" si="336"/>
        <v>5054635</v>
      </c>
      <c r="BV141" s="258">
        <v>5055020</v>
      </c>
      <c r="BW141" s="286">
        <f t="shared" si="148"/>
        <v>-385</v>
      </c>
    </row>
    <row r="142" spans="1:75" x14ac:dyDescent="0.25">
      <c r="B142" s="259"/>
      <c r="C142" s="259"/>
      <c r="D142" s="259"/>
      <c r="E142" s="259"/>
      <c r="F142" s="259"/>
      <c r="G142" s="259"/>
      <c r="H142" s="259"/>
      <c r="J142" s="259"/>
      <c r="K142" s="259"/>
      <c r="L142" s="259"/>
      <c r="M142" s="259"/>
      <c r="N142" s="259"/>
      <c r="O142" s="259"/>
      <c r="P142" s="259"/>
      <c r="R142" s="259"/>
      <c r="S142" s="259"/>
      <c r="T142" s="259"/>
      <c r="U142" s="259"/>
      <c r="V142" s="259"/>
      <c r="W142" s="259"/>
      <c r="X142" s="259"/>
      <c r="Z142" s="259"/>
      <c r="AA142" s="259"/>
      <c r="AB142" s="259"/>
      <c r="AC142" s="259"/>
      <c r="AD142" s="259"/>
      <c r="AE142" s="259"/>
      <c r="AF142" s="259"/>
      <c r="AH142" s="259"/>
      <c r="AI142" s="259"/>
      <c r="AJ142" s="259"/>
      <c r="AK142" s="259"/>
      <c r="AL142" s="259"/>
      <c r="AM142" s="259"/>
      <c r="AN142" s="259"/>
      <c r="AP142" s="259"/>
      <c r="AQ142" s="259"/>
      <c r="AR142" s="259"/>
      <c r="AS142" s="259"/>
      <c r="AT142" s="259"/>
      <c r="AU142" s="259"/>
      <c r="AV142" s="259"/>
      <c r="AX142" s="259"/>
      <c r="AY142" s="259"/>
      <c r="AZ142" s="259"/>
      <c r="BA142" s="259"/>
      <c r="BB142" s="259"/>
      <c r="BC142" s="259"/>
      <c r="BD142" s="259"/>
      <c r="BF142" s="259"/>
      <c r="BG142" s="259"/>
      <c r="BH142" s="259"/>
      <c r="BI142" s="259"/>
      <c r="BJ142" s="259"/>
      <c r="BK142" s="259"/>
      <c r="BL142" s="259"/>
      <c r="BN142" s="259"/>
      <c r="BO142" s="259"/>
      <c r="BP142" s="259"/>
      <c r="BQ142" s="259"/>
      <c r="BR142" s="259"/>
      <c r="BS142" s="259"/>
      <c r="BT142" s="259"/>
      <c r="BV142" s="259"/>
      <c r="BW142" s="286">
        <f t="shared" si="148"/>
        <v>0</v>
      </c>
    </row>
    <row r="143" spans="1:75" x14ac:dyDescent="0.25">
      <c r="A143" s="208" t="s">
        <v>333</v>
      </c>
      <c r="B143" s="260" t="s">
        <v>309</v>
      </c>
      <c r="C143" s="260" t="s">
        <v>310</v>
      </c>
      <c r="D143" s="260" t="s">
        <v>311</v>
      </c>
      <c r="E143" s="260" t="str">
        <f>E134</f>
        <v>Other</v>
      </c>
      <c r="F143" s="260" t="s">
        <v>315</v>
      </c>
      <c r="G143" s="260" t="s">
        <v>314</v>
      </c>
      <c r="H143" s="260" t="s">
        <v>320</v>
      </c>
      <c r="J143" s="260" t="s">
        <v>309</v>
      </c>
      <c r="K143" s="260" t="s">
        <v>310</v>
      </c>
      <c r="L143" s="260" t="s">
        <v>311</v>
      </c>
      <c r="M143" s="260" t="str">
        <f>M134</f>
        <v>Other</v>
      </c>
      <c r="N143" s="260" t="s">
        <v>315</v>
      </c>
      <c r="O143" s="260" t="s">
        <v>314</v>
      </c>
      <c r="P143" s="260" t="str">
        <f>P118</f>
        <v>Cadence</v>
      </c>
      <c r="R143" s="260" t="s">
        <v>309</v>
      </c>
      <c r="S143" s="260" t="s">
        <v>310</v>
      </c>
      <c r="T143" s="260" t="s">
        <v>311</v>
      </c>
      <c r="U143" s="260" t="str">
        <f>U134</f>
        <v>Other</v>
      </c>
      <c r="V143" s="260" t="s">
        <v>315</v>
      </c>
      <c r="W143" s="260" t="s">
        <v>314</v>
      </c>
      <c r="X143" s="260" t="str">
        <f>X134</f>
        <v>St. Rose</v>
      </c>
      <c r="Z143" s="260" t="s">
        <v>309</v>
      </c>
      <c r="AA143" s="260" t="s">
        <v>310</v>
      </c>
      <c r="AB143" s="260" t="s">
        <v>311</v>
      </c>
      <c r="AC143" s="260" t="str">
        <f>AC134</f>
        <v>Other</v>
      </c>
      <c r="AD143" s="260" t="s">
        <v>315</v>
      </c>
      <c r="AE143" s="260" t="s">
        <v>314</v>
      </c>
      <c r="AF143" s="260" t="str">
        <f>AF134</f>
        <v>Inspirada</v>
      </c>
      <c r="AH143" s="260" t="s">
        <v>309</v>
      </c>
      <c r="AI143" s="260" t="s">
        <v>310</v>
      </c>
      <c r="AJ143" s="260" t="s">
        <v>311</v>
      </c>
      <c r="AK143" s="260" t="str">
        <f>AK134</f>
        <v>Other</v>
      </c>
      <c r="AL143" s="260" t="s">
        <v>315</v>
      </c>
      <c r="AM143" s="260" t="s">
        <v>314</v>
      </c>
      <c r="AN143" s="260" t="str">
        <f>AN134</f>
        <v>Sloan</v>
      </c>
      <c r="AP143" s="260" t="s">
        <v>309</v>
      </c>
      <c r="AQ143" s="260" t="s">
        <v>310</v>
      </c>
      <c r="AR143" s="260" t="s">
        <v>311</v>
      </c>
      <c r="AS143" s="260" t="str">
        <f>AS134</f>
        <v>Other</v>
      </c>
      <c r="AT143" s="260" t="s">
        <v>315</v>
      </c>
      <c r="AU143" s="260" t="s">
        <v>314</v>
      </c>
      <c r="AV143" s="260" t="str">
        <f>AV134</f>
        <v>Springs</v>
      </c>
      <c r="AX143" s="260" t="s">
        <v>309</v>
      </c>
      <c r="AY143" s="260" t="s">
        <v>310</v>
      </c>
      <c r="AZ143" s="260" t="s">
        <v>311</v>
      </c>
      <c r="BA143" s="260" t="str">
        <f>BA134</f>
        <v>Other</v>
      </c>
      <c r="BB143" s="260" t="s">
        <v>315</v>
      </c>
      <c r="BC143" s="260" t="s">
        <v>314</v>
      </c>
      <c r="BD143" s="260" t="str">
        <f>BD134</f>
        <v>Virtual</v>
      </c>
      <c r="BF143" s="260" t="s">
        <v>309</v>
      </c>
      <c r="BG143" s="260" t="s">
        <v>310</v>
      </c>
      <c r="BH143" s="260" t="s">
        <v>311</v>
      </c>
      <c r="BI143" s="260" t="str">
        <f>BI134</f>
        <v>Other</v>
      </c>
      <c r="BJ143" s="260" t="s">
        <v>315</v>
      </c>
      <c r="BK143" s="260" t="s">
        <v>314</v>
      </c>
      <c r="BL143" s="260" t="str">
        <f>BL134</f>
        <v>Central</v>
      </c>
      <c r="BN143" s="260" t="s">
        <v>309</v>
      </c>
      <c r="BO143" s="260" t="s">
        <v>310</v>
      </c>
      <c r="BP143" s="260" t="s">
        <v>311</v>
      </c>
      <c r="BQ143" s="260" t="str">
        <f>BQ134</f>
        <v>Other</v>
      </c>
      <c r="BR143" s="260" t="s">
        <v>315</v>
      </c>
      <c r="BS143" s="260" t="s">
        <v>314</v>
      </c>
      <c r="BT143" s="260" t="str">
        <f>BT134</f>
        <v>System</v>
      </c>
      <c r="BV143" s="260" t="s">
        <v>320</v>
      </c>
      <c r="BW143" s="286" t="e">
        <f t="shared" si="148"/>
        <v>#VALUE!</v>
      </c>
    </row>
    <row r="144" spans="1:75" x14ac:dyDescent="0.25">
      <c r="A144" s="214" t="s">
        <v>258</v>
      </c>
      <c r="B144" s="257">
        <f>30*B17</f>
        <v>27300</v>
      </c>
      <c r="C144" s="257"/>
      <c r="D144" s="257"/>
      <c r="E144" s="257"/>
      <c r="F144" s="257"/>
      <c r="G144" s="257"/>
      <c r="H144" s="241">
        <f>SUM(B144:G144)</f>
        <v>27300</v>
      </c>
      <c r="J144" s="257">
        <f>30*J17</f>
        <v>74580</v>
      </c>
      <c r="K144" s="257"/>
      <c r="L144" s="257"/>
      <c r="M144" s="257"/>
      <c r="N144" s="257"/>
      <c r="O144" s="257"/>
      <c r="P144" s="241">
        <f>SUM(J144:O144)</f>
        <v>74580</v>
      </c>
      <c r="R144" s="257">
        <f>30*R17</f>
        <v>30900</v>
      </c>
      <c r="S144" s="257"/>
      <c r="T144" s="257"/>
      <c r="U144" s="257"/>
      <c r="V144" s="257"/>
      <c r="W144" s="257"/>
      <c r="X144" s="241">
        <f>SUM(R144:W144)</f>
        <v>30900</v>
      </c>
      <c r="Z144" s="257">
        <f>30*Z17</f>
        <v>35520</v>
      </c>
      <c r="AA144" s="257"/>
      <c r="AB144" s="257"/>
      <c r="AC144" s="257"/>
      <c r="AD144" s="257"/>
      <c r="AE144" s="257"/>
      <c r="AF144" s="241">
        <f>SUM(Z144:AE144)</f>
        <v>35520</v>
      </c>
      <c r="AH144" s="257">
        <f>30*AH17</f>
        <v>72480</v>
      </c>
      <c r="AI144" s="257"/>
      <c r="AJ144" s="257"/>
      <c r="AK144" s="257"/>
      <c r="AL144" s="257"/>
      <c r="AM144" s="257"/>
      <c r="AN144" s="241">
        <f>SUM(AH144:AM144)</f>
        <v>72480</v>
      </c>
      <c r="AP144" s="257">
        <f>30*AP17</f>
        <v>11100</v>
      </c>
      <c r="AQ144" s="257"/>
      <c r="AR144" s="257"/>
      <c r="AS144" s="257"/>
      <c r="AT144" s="257"/>
      <c r="AU144" s="257"/>
      <c r="AV144" s="241">
        <f>SUM(AP144:AU144)</f>
        <v>11100</v>
      </c>
      <c r="AX144" s="257">
        <f>20*AX17</f>
        <v>2800</v>
      </c>
      <c r="AY144" s="257"/>
      <c r="AZ144" s="257"/>
      <c r="BA144" s="257"/>
      <c r="BB144" s="257"/>
      <c r="BC144" s="257"/>
      <c r="BD144" s="241">
        <f>SUM(AX144:BC144)</f>
        <v>2800</v>
      </c>
      <c r="BF144" s="257"/>
      <c r="BG144" s="257"/>
      <c r="BH144" s="257"/>
      <c r="BI144" s="257"/>
      <c r="BJ144" s="257"/>
      <c r="BK144" s="257"/>
      <c r="BL144" s="241">
        <f>SUM(BF144:BK144)</f>
        <v>0</v>
      </c>
      <c r="BN144" s="241">
        <f>B144+J144+R144+Z144+AH144+AP144+AX144+BF144</f>
        <v>254680</v>
      </c>
      <c r="BO144" s="241">
        <f t="shared" ref="BO144:BS144" si="337">C144+K144+S144+AA144+AI144+AQ144+AY144+BG144</f>
        <v>0</v>
      </c>
      <c r="BP144" s="241">
        <f t="shared" si="337"/>
        <v>0</v>
      </c>
      <c r="BQ144" s="241">
        <f t="shared" si="337"/>
        <v>0</v>
      </c>
      <c r="BR144" s="241">
        <f t="shared" si="337"/>
        <v>0</v>
      </c>
      <c r="BS144" s="241">
        <f t="shared" si="337"/>
        <v>0</v>
      </c>
      <c r="BT144" s="241">
        <f>SUM(BN144:BS144)</f>
        <v>254680</v>
      </c>
      <c r="BV144" s="241">
        <v>255010</v>
      </c>
      <c r="BW144" s="286">
        <f t="shared" si="148"/>
        <v>-330</v>
      </c>
    </row>
    <row r="145" spans="1:75" x14ac:dyDescent="0.25">
      <c r="A145" s="211" t="s">
        <v>256</v>
      </c>
      <c r="B145" s="244">
        <f>(25*B17)</f>
        <v>22750</v>
      </c>
      <c r="C145" s="244"/>
      <c r="D145" s="244"/>
      <c r="E145" s="244"/>
      <c r="F145" s="244"/>
      <c r="G145" s="244"/>
      <c r="H145" s="241">
        <f t="shared" ref="H145:H148" si="338">SUM(B145:G145)</f>
        <v>22750</v>
      </c>
      <c r="J145" s="244">
        <f>(25*J17)</f>
        <v>62150</v>
      </c>
      <c r="K145" s="244"/>
      <c r="L145" s="244"/>
      <c r="M145" s="244"/>
      <c r="N145" s="244"/>
      <c r="O145" s="244"/>
      <c r="P145" s="241">
        <f t="shared" ref="P145:P148" si="339">SUM(J145:O145)</f>
        <v>62150</v>
      </c>
      <c r="R145" s="244">
        <f>(25*R17)</f>
        <v>25750</v>
      </c>
      <c r="S145" s="244"/>
      <c r="T145" s="244"/>
      <c r="U145" s="244"/>
      <c r="V145" s="244"/>
      <c r="W145" s="244"/>
      <c r="X145" s="241">
        <f t="shared" ref="X145:X148" si="340">SUM(R145:W145)</f>
        <v>25750</v>
      </c>
      <c r="Z145" s="244">
        <f>(25*Z17)</f>
        <v>29600</v>
      </c>
      <c r="AA145" s="244"/>
      <c r="AB145" s="244"/>
      <c r="AC145" s="244"/>
      <c r="AD145" s="244"/>
      <c r="AE145" s="244"/>
      <c r="AF145" s="241">
        <f t="shared" ref="AF145:AF148" si="341">SUM(Z145:AE145)</f>
        <v>29600</v>
      </c>
      <c r="AH145" s="244">
        <f>(25*AH17)</f>
        <v>60400</v>
      </c>
      <c r="AI145" s="244"/>
      <c r="AJ145" s="244"/>
      <c r="AK145" s="244"/>
      <c r="AL145" s="244"/>
      <c r="AM145" s="244"/>
      <c r="AN145" s="241">
        <f t="shared" ref="AN145:AN148" si="342">SUM(AH145:AM145)</f>
        <v>60400</v>
      </c>
      <c r="AP145" s="244">
        <f>(25*AP17)</f>
        <v>9250</v>
      </c>
      <c r="AQ145" s="244"/>
      <c r="AR145" s="244"/>
      <c r="AS145" s="244"/>
      <c r="AT145" s="244"/>
      <c r="AU145" s="244"/>
      <c r="AV145" s="241">
        <f t="shared" ref="AV145:AV148" si="343">SUM(AP145:AU145)</f>
        <v>9250</v>
      </c>
      <c r="AX145" s="244">
        <f>(25*AX17)</f>
        <v>3500</v>
      </c>
      <c r="AY145" s="244"/>
      <c r="AZ145" s="244"/>
      <c r="BA145" s="244"/>
      <c r="BB145" s="244"/>
      <c r="BC145" s="244"/>
      <c r="BD145" s="241">
        <f t="shared" ref="BD145:BD148" si="344">SUM(AX145:BC145)</f>
        <v>3500</v>
      </c>
      <c r="BF145" s="244">
        <f>(3*BF17)</f>
        <v>0</v>
      </c>
      <c r="BG145" s="244"/>
      <c r="BH145" s="244"/>
      <c r="BI145" s="244"/>
      <c r="BJ145" s="244"/>
      <c r="BK145" s="244"/>
      <c r="BL145" s="241">
        <f t="shared" ref="BL145:BL148" si="345">SUM(BF145:BK145)</f>
        <v>0</v>
      </c>
      <c r="BN145" s="241">
        <f t="shared" ref="BN145:BN148" si="346">B145+J145+R145+Z145+AH145+AP145+AX145+BF145</f>
        <v>213400</v>
      </c>
      <c r="BO145" s="241">
        <f t="shared" ref="BO145:BO148" si="347">C145+K145+S145+AA145+AI145+AQ145+AY145+BG145</f>
        <v>0</v>
      </c>
      <c r="BP145" s="241">
        <f t="shared" ref="BP145:BP148" si="348">D145+L145+T145+AB145+AJ145+AR145+AZ145+BH145</f>
        <v>0</v>
      </c>
      <c r="BQ145" s="241">
        <f t="shared" ref="BQ145:BQ148" si="349">E145+M145+U145+AC145+AK145+AS145+BA145+BI145</f>
        <v>0</v>
      </c>
      <c r="BR145" s="241">
        <f t="shared" ref="BR145:BR148" si="350">F145+N145+V145+AD145+AL145+AT145+BB145+BJ145</f>
        <v>0</v>
      </c>
      <c r="BS145" s="241">
        <f t="shared" ref="BS145:BS148" si="351">G145+O145+W145+AE145+AM145+AU145+BC145+BK145</f>
        <v>0</v>
      </c>
      <c r="BT145" s="241">
        <f t="shared" ref="BT145:BT148" si="352">SUM(BN145:BS145)</f>
        <v>213400</v>
      </c>
      <c r="BV145" s="241">
        <v>213675</v>
      </c>
      <c r="BW145" s="286">
        <f t="shared" si="148"/>
        <v>-275</v>
      </c>
    </row>
    <row r="146" spans="1:75" x14ac:dyDescent="0.25">
      <c r="A146" s="211" t="s">
        <v>259</v>
      </c>
      <c r="B146" s="244">
        <f>8*B17</f>
        <v>7280</v>
      </c>
      <c r="C146" s="244"/>
      <c r="D146" s="244"/>
      <c r="E146" s="244"/>
      <c r="F146" s="244"/>
      <c r="G146" s="244"/>
      <c r="H146" s="241">
        <f t="shared" si="338"/>
        <v>7280</v>
      </c>
      <c r="J146" s="244">
        <f>8*J17</f>
        <v>19888</v>
      </c>
      <c r="K146" s="244"/>
      <c r="L146" s="244"/>
      <c r="M146" s="244"/>
      <c r="N146" s="244"/>
      <c r="O146" s="244"/>
      <c r="P146" s="241">
        <f t="shared" si="339"/>
        <v>19888</v>
      </c>
      <c r="R146" s="244">
        <f>8*R17</f>
        <v>8240</v>
      </c>
      <c r="S146" s="244"/>
      <c r="T146" s="244"/>
      <c r="U146" s="244"/>
      <c r="V146" s="244"/>
      <c r="W146" s="244"/>
      <c r="X146" s="241">
        <f t="shared" si="340"/>
        <v>8240</v>
      </c>
      <c r="Z146" s="244">
        <f>8*Z17</f>
        <v>9472</v>
      </c>
      <c r="AA146" s="244"/>
      <c r="AB146" s="244"/>
      <c r="AC146" s="244"/>
      <c r="AD146" s="244"/>
      <c r="AE146" s="244"/>
      <c r="AF146" s="241">
        <f t="shared" si="341"/>
        <v>9472</v>
      </c>
      <c r="AH146" s="244">
        <f>8*AH17</f>
        <v>19328</v>
      </c>
      <c r="AI146" s="244"/>
      <c r="AJ146" s="244"/>
      <c r="AK146" s="244"/>
      <c r="AL146" s="244"/>
      <c r="AM146" s="244"/>
      <c r="AN146" s="241">
        <f t="shared" si="342"/>
        <v>19328</v>
      </c>
      <c r="AP146" s="244">
        <f>8*AP17</f>
        <v>2960</v>
      </c>
      <c r="AQ146" s="244"/>
      <c r="AR146" s="244"/>
      <c r="AS146" s="244"/>
      <c r="AT146" s="244"/>
      <c r="AU146" s="244"/>
      <c r="AV146" s="241">
        <f t="shared" si="343"/>
        <v>2960</v>
      </c>
      <c r="AX146" s="244">
        <v>0</v>
      </c>
      <c r="AY146" s="244"/>
      <c r="AZ146" s="244"/>
      <c r="BA146" s="244"/>
      <c r="BB146" s="244"/>
      <c r="BC146" s="244"/>
      <c r="BD146" s="241">
        <f t="shared" si="344"/>
        <v>0</v>
      </c>
      <c r="BF146" s="244">
        <f>8*BF17</f>
        <v>0</v>
      </c>
      <c r="BG146" s="244"/>
      <c r="BH146" s="244"/>
      <c r="BI146" s="244"/>
      <c r="BJ146" s="244"/>
      <c r="BK146" s="244"/>
      <c r="BL146" s="241">
        <f t="shared" si="345"/>
        <v>0</v>
      </c>
      <c r="BN146" s="241">
        <f t="shared" si="346"/>
        <v>67168</v>
      </c>
      <c r="BO146" s="241">
        <f t="shared" si="347"/>
        <v>0</v>
      </c>
      <c r="BP146" s="241">
        <f t="shared" si="348"/>
        <v>0</v>
      </c>
      <c r="BQ146" s="241">
        <f t="shared" si="349"/>
        <v>0</v>
      </c>
      <c r="BR146" s="241">
        <f t="shared" si="350"/>
        <v>0</v>
      </c>
      <c r="BS146" s="241">
        <f t="shared" si="351"/>
        <v>0</v>
      </c>
      <c r="BT146" s="241">
        <f t="shared" si="352"/>
        <v>67168</v>
      </c>
      <c r="BV146" s="241">
        <v>67256</v>
      </c>
      <c r="BW146" s="286">
        <f t="shared" si="148"/>
        <v>-88</v>
      </c>
    </row>
    <row r="147" spans="1:75" x14ac:dyDescent="0.25">
      <c r="A147" s="211" t="s">
        <v>260</v>
      </c>
      <c r="B147" s="244"/>
      <c r="C147" s="244"/>
      <c r="D147" s="244"/>
      <c r="E147" s="244"/>
      <c r="F147" s="244"/>
      <c r="G147" s="244"/>
      <c r="H147" s="241">
        <f t="shared" si="338"/>
        <v>0</v>
      </c>
      <c r="J147" s="244">
        <v>125000</v>
      </c>
      <c r="K147" s="244"/>
      <c r="L147" s="244"/>
      <c r="M147" s="244"/>
      <c r="N147" s="244"/>
      <c r="O147" s="244"/>
      <c r="P147" s="241">
        <f t="shared" si="339"/>
        <v>125000</v>
      </c>
      <c r="R147" s="244"/>
      <c r="S147" s="244"/>
      <c r="T147" s="244"/>
      <c r="U147" s="244"/>
      <c r="V147" s="244"/>
      <c r="W147" s="244"/>
      <c r="X147" s="241">
        <f t="shared" si="340"/>
        <v>0</v>
      </c>
      <c r="Z147" s="244"/>
      <c r="AA147" s="244"/>
      <c r="AB147" s="244"/>
      <c r="AC147" s="244"/>
      <c r="AD147" s="244"/>
      <c r="AE147" s="244"/>
      <c r="AF147" s="241">
        <f t="shared" si="341"/>
        <v>0</v>
      </c>
      <c r="AH147" s="244">
        <v>150000</v>
      </c>
      <c r="AI147" s="244"/>
      <c r="AJ147" s="244"/>
      <c r="AK147" s="244"/>
      <c r="AL147" s="244"/>
      <c r="AM147" s="244"/>
      <c r="AN147" s="241">
        <f t="shared" si="342"/>
        <v>150000</v>
      </c>
      <c r="AP147" s="244"/>
      <c r="AQ147" s="244"/>
      <c r="AR147" s="244"/>
      <c r="AS147" s="244"/>
      <c r="AT147" s="244"/>
      <c r="AU147" s="244"/>
      <c r="AV147" s="241">
        <f t="shared" si="343"/>
        <v>0</v>
      </c>
      <c r="AX147" s="242"/>
      <c r="AY147" s="244"/>
      <c r="AZ147" s="244"/>
      <c r="BA147" s="244"/>
      <c r="BB147" s="244"/>
      <c r="BC147" s="244"/>
      <c r="BD147" s="241">
        <f t="shared" si="344"/>
        <v>0</v>
      </c>
      <c r="BF147" s="244"/>
      <c r="BG147" s="244"/>
      <c r="BH147" s="244"/>
      <c r="BI147" s="244"/>
      <c r="BJ147" s="244"/>
      <c r="BK147" s="244"/>
      <c r="BL147" s="241">
        <f t="shared" si="345"/>
        <v>0</v>
      </c>
      <c r="BN147" s="241">
        <f t="shared" si="346"/>
        <v>275000</v>
      </c>
      <c r="BO147" s="241">
        <f t="shared" si="347"/>
        <v>0</v>
      </c>
      <c r="BP147" s="241">
        <f t="shared" si="348"/>
        <v>0</v>
      </c>
      <c r="BQ147" s="241">
        <f t="shared" si="349"/>
        <v>0</v>
      </c>
      <c r="BR147" s="241">
        <f t="shared" si="350"/>
        <v>0</v>
      </c>
      <c r="BS147" s="241">
        <f t="shared" si="351"/>
        <v>0</v>
      </c>
      <c r="BT147" s="241">
        <f t="shared" si="352"/>
        <v>275000</v>
      </c>
      <c r="BV147" s="241">
        <v>275000</v>
      </c>
      <c r="BW147" s="286">
        <f t="shared" si="148"/>
        <v>0</v>
      </c>
    </row>
    <row r="148" spans="1:75" x14ac:dyDescent="0.25">
      <c r="A148" s="212" t="s">
        <v>261</v>
      </c>
      <c r="B148" s="245">
        <f>55*B17</f>
        <v>50050</v>
      </c>
      <c r="C148" s="245"/>
      <c r="D148" s="245"/>
      <c r="E148" s="245"/>
      <c r="F148" s="245"/>
      <c r="G148" s="245"/>
      <c r="H148" s="241">
        <f t="shared" si="338"/>
        <v>50050</v>
      </c>
      <c r="J148" s="245">
        <f>52*J17</f>
        <v>129272</v>
      </c>
      <c r="K148" s="245"/>
      <c r="L148" s="245"/>
      <c r="M148" s="245"/>
      <c r="N148" s="245"/>
      <c r="O148" s="245"/>
      <c r="P148" s="241">
        <f t="shared" si="339"/>
        <v>129272</v>
      </c>
      <c r="R148" s="245">
        <f>40*R17</f>
        <v>41200</v>
      </c>
      <c r="S148" s="245"/>
      <c r="T148" s="245"/>
      <c r="U148" s="245"/>
      <c r="V148" s="245"/>
      <c r="W148" s="245"/>
      <c r="X148" s="241">
        <f t="shared" si="340"/>
        <v>41200</v>
      </c>
      <c r="Z148" s="245">
        <f>40*Z17</f>
        <v>47360</v>
      </c>
      <c r="AA148" s="245"/>
      <c r="AB148" s="245"/>
      <c r="AC148" s="245"/>
      <c r="AD148" s="245"/>
      <c r="AE148" s="245"/>
      <c r="AF148" s="241">
        <f t="shared" si="341"/>
        <v>47360</v>
      </c>
      <c r="AH148" s="245">
        <f>70*AH17</f>
        <v>169120</v>
      </c>
      <c r="AI148" s="245"/>
      <c r="AJ148" s="245"/>
      <c r="AK148" s="245"/>
      <c r="AL148" s="245"/>
      <c r="AM148" s="245"/>
      <c r="AN148" s="241">
        <f t="shared" si="342"/>
        <v>169120</v>
      </c>
      <c r="AP148" s="245">
        <f>52*AP17</f>
        <v>19240</v>
      </c>
      <c r="AQ148" s="245"/>
      <c r="AR148" s="245"/>
      <c r="AS148" s="245"/>
      <c r="AT148" s="245"/>
      <c r="AU148" s="245"/>
      <c r="AV148" s="241">
        <f t="shared" si="343"/>
        <v>19240</v>
      </c>
      <c r="AX148" s="245">
        <v>0</v>
      </c>
      <c r="AY148" s="245"/>
      <c r="AZ148" s="245"/>
      <c r="BA148" s="245"/>
      <c r="BB148" s="245"/>
      <c r="BC148" s="245"/>
      <c r="BD148" s="241">
        <f t="shared" si="344"/>
        <v>0</v>
      </c>
      <c r="BF148" s="245">
        <f>50*BF17</f>
        <v>0</v>
      </c>
      <c r="BG148" s="245"/>
      <c r="BH148" s="245"/>
      <c r="BI148" s="245"/>
      <c r="BJ148" s="245"/>
      <c r="BK148" s="245"/>
      <c r="BL148" s="241">
        <f t="shared" si="345"/>
        <v>0</v>
      </c>
      <c r="BN148" s="241">
        <f t="shared" si="346"/>
        <v>456242</v>
      </c>
      <c r="BO148" s="241">
        <f t="shared" si="347"/>
        <v>0</v>
      </c>
      <c r="BP148" s="241">
        <f t="shared" si="348"/>
        <v>0</v>
      </c>
      <c r="BQ148" s="241">
        <f t="shared" si="349"/>
        <v>0</v>
      </c>
      <c r="BR148" s="241">
        <f t="shared" si="350"/>
        <v>0</v>
      </c>
      <c r="BS148" s="241">
        <f t="shared" si="351"/>
        <v>0</v>
      </c>
      <c r="BT148" s="241">
        <f t="shared" si="352"/>
        <v>456242</v>
      </c>
      <c r="BV148" s="241">
        <v>456757</v>
      </c>
      <c r="BW148" s="286">
        <f t="shared" si="148"/>
        <v>-515</v>
      </c>
    </row>
    <row r="149" spans="1:75" x14ac:dyDescent="0.25">
      <c r="A149" s="213"/>
      <c r="B149" s="258">
        <f>SUM(B144:B148)</f>
        <v>107380</v>
      </c>
      <c r="C149" s="258">
        <f t="shared" ref="C149:H149" si="353">SUM(C144:C148)</f>
        <v>0</v>
      </c>
      <c r="D149" s="258">
        <f t="shared" si="353"/>
        <v>0</v>
      </c>
      <c r="E149" s="258">
        <f t="shared" si="353"/>
        <v>0</v>
      </c>
      <c r="F149" s="258">
        <f t="shared" si="353"/>
        <v>0</v>
      </c>
      <c r="G149" s="258">
        <f t="shared" si="353"/>
        <v>0</v>
      </c>
      <c r="H149" s="258">
        <f t="shared" si="353"/>
        <v>107380</v>
      </c>
      <c r="J149" s="258">
        <f>SUM(J144:J148)</f>
        <v>410890</v>
      </c>
      <c r="K149" s="258">
        <f t="shared" ref="K149:P149" si="354">SUM(K144:K148)</f>
        <v>0</v>
      </c>
      <c r="L149" s="258">
        <f t="shared" si="354"/>
        <v>0</v>
      </c>
      <c r="M149" s="258">
        <f t="shared" si="354"/>
        <v>0</v>
      </c>
      <c r="N149" s="258">
        <f t="shared" si="354"/>
        <v>0</v>
      </c>
      <c r="O149" s="258">
        <f t="shared" si="354"/>
        <v>0</v>
      </c>
      <c r="P149" s="258">
        <f t="shared" si="354"/>
        <v>410890</v>
      </c>
      <c r="R149" s="258">
        <f>SUM(R144:R148)</f>
        <v>106090</v>
      </c>
      <c r="S149" s="258">
        <f t="shared" ref="S149:X149" si="355">SUM(S144:S148)</f>
        <v>0</v>
      </c>
      <c r="T149" s="258">
        <f t="shared" si="355"/>
        <v>0</v>
      </c>
      <c r="U149" s="258">
        <f t="shared" si="355"/>
        <v>0</v>
      </c>
      <c r="V149" s="258">
        <f t="shared" si="355"/>
        <v>0</v>
      </c>
      <c r="W149" s="258">
        <f t="shared" si="355"/>
        <v>0</v>
      </c>
      <c r="X149" s="258">
        <f t="shared" si="355"/>
        <v>106090</v>
      </c>
      <c r="Z149" s="258">
        <f>SUM(Z144:Z148)</f>
        <v>121952</v>
      </c>
      <c r="AA149" s="258">
        <f t="shared" ref="AA149:AF149" si="356">SUM(AA144:AA148)</f>
        <v>0</v>
      </c>
      <c r="AB149" s="258">
        <f t="shared" si="356"/>
        <v>0</v>
      </c>
      <c r="AC149" s="258">
        <f t="shared" si="356"/>
        <v>0</v>
      </c>
      <c r="AD149" s="258">
        <f t="shared" si="356"/>
        <v>0</v>
      </c>
      <c r="AE149" s="258">
        <f t="shared" si="356"/>
        <v>0</v>
      </c>
      <c r="AF149" s="258">
        <f t="shared" si="356"/>
        <v>121952</v>
      </c>
      <c r="AH149" s="258">
        <f>SUM(AH144:AH148)</f>
        <v>471328</v>
      </c>
      <c r="AI149" s="258">
        <f t="shared" ref="AI149:AN149" si="357">SUM(AI144:AI148)</f>
        <v>0</v>
      </c>
      <c r="AJ149" s="258">
        <f t="shared" si="357"/>
        <v>0</v>
      </c>
      <c r="AK149" s="258">
        <f t="shared" si="357"/>
        <v>0</v>
      </c>
      <c r="AL149" s="258">
        <f t="shared" si="357"/>
        <v>0</v>
      </c>
      <c r="AM149" s="258">
        <f t="shared" si="357"/>
        <v>0</v>
      </c>
      <c r="AN149" s="258">
        <f t="shared" si="357"/>
        <v>471328</v>
      </c>
      <c r="AP149" s="258">
        <f>SUM(AP144:AP148)</f>
        <v>42550</v>
      </c>
      <c r="AQ149" s="258">
        <f t="shared" ref="AQ149:AV149" si="358">SUM(AQ144:AQ148)</f>
        <v>0</v>
      </c>
      <c r="AR149" s="258">
        <f t="shared" si="358"/>
        <v>0</v>
      </c>
      <c r="AS149" s="258">
        <f t="shared" si="358"/>
        <v>0</v>
      </c>
      <c r="AT149" s="258">
        <f t="shared" si="358"/>
        <v>0</v>
      </c>
      <c r="AU149" s="258">
        <f t="shared" si="358"/>
        <v>0</v>
      </c>
      <c r="AV149" s="258">
        <f t="shared" si="358"/>
        <v>42550</v>
      </c>
      <c r="AX149" s="258">
        <f>SUM(AX144:AX148)</f>
        <v>6300</v>
      </c>
      <c r="AY149" s="258">
        <f t="shared" ref="AY149:BD149" si="359">SUM(AY144:AY148)</f>
        <v>0</v>
      </c>
      <c r="AZ149" s="258">
        <f t="shared" si="359"/>
        <v>0</v>
      </c>
      <c r="BA149" s="258">
        <f t="shared" si="359"/>
        <v>0</v>
      </c>
      <c r="BB149" s="258">
        <f t="shared" si="359"/>
        <v>0</v>
      </c>
      <c r="BC149" s="258">
        <f t="shared" si="359"/>
        <v>0</v>
      </c>
      <c r="BD149" s="258">
        <f t="shared" si="359"/>
        <v>6300</v>
      </c>
      <c r="BF149" s="258">
        <f>SUM(BF144:BF148)</f>
        <v>0</v>
      </c>
      <c r="BG149" s="258">
        <f t="shared" ref="BG149:BL149" si="360">SUM(BG144:BG148)</f>
        <v>0</v>
      </c>
      <c r="BH149" s="258">
        <f t="shared" si="360"/>
        <v>0</v>
      </c>
      <c r="BI149" s="258">
        <f t="shared" si="360"/>
        <v>0</v>
      </c>
      <c r="BJ149" s="258">
        <f t="shared" si="360"/>
        <v>0</v>
      </c>
      <c r="BK149" s="258">
        <f t="shared" si="360"/>
        <v>0</v>
      </c>
      <c r="BL149" s="258">
        <f t="shared" si="360"/>
        <v>0</v>
      </c>
      <c r="BN149" s="258">
        <f>SUM(BN144:BN148)</f>
        <v>1266490</v>
      </c>
      <c r="BO149" s="258">
        <f t="shared" ref="BO149:BT149" si="361">SUM(BO144:BO148)</f>
        <v>0</v>
      </c>
      <c r="BP149" s="258">
        <f t="shared" si="361"/>
        <v>0</v>
      </c>
      <c r="BQ149" s="258">
        <f t="shared" si="361"/>
        <v>0</v>
      </c>
      <c r="BR149" s="258">
        <f t="shared" si="361"/>
        <v>0</v>
      </c>
      <c r="BS149" s="258">
        <f t="shared" si="361"/>
        <v>0</v>
      </c>
      <c r="BT149" s="258">
        <f t="shared" si="361"/>
        <v>1266490</v>
      </c>
      <c r="BV149" s="258">
        <v>1267698</v>
      </c>
      <c r="BW149" s="286">
        <f t="shared" si="148"/>
        <v>-1208</v>
      </c>
    </row>
    <row r="150" spans="1:75" x14ac:dyDescent="0.25">
      <c r="B150" s="259"/>
      <c r="C150" s="259"/>
      <c r="D150" s="259"/>
      <c r="E150" s="259"/>
      <c r="F150" s="259"/>
      <c r="G150" s="259"/>
      <c r="H150" s="259"/>
      <c r="J150" s="259"/>
      <c r="K150" s="259"/>
      <c r="L150" s="259"/>
      <c r="M150" s="259"/>
      <c r="N150" s="259"/>
      <c r="O150" s="259"/>
      <c r="P150" s="259"/>
      <c r="R150" s="259"/>
      <c r="S150" s="259"/>
      <c r="T150" s="259"/>
      <c r="U150" s="259"/>
      <c r="V150" s="259"/>
      <c r="W150" s="259"/>
      <c r="X150" s="259"/>
      <c r="Z150" s="259"/>
      <c r="AA150" s="259"/>
      <c r="AB150" s="259"/>
      <c r="AC150" s="259"/>
      <c r="AD150" s="259"/>
      <c r="AE150" s="259"/>
      <c r="AF150" s="259"/>
      <c r="AH150" s="259"/>
      <c r="AI150" s="259"/>
      <c r="AJ150" s="259"/>
      <c r="AK150" s="259"/>
      <c r="AL150" s="259"/>
      <c r="AM150" s="259"/>
      <c r="AN150" s="259"/>
      <c r="AP150" s="259"/>
      <c r="AQ150" s="259"/>
      <c r="AR150" s="259"/>
      <c r="AS150" s="259"/>
      <c r="AT150" s="259"/>
      <c r="AU150" s="259"/>
      <c r="AV150" s="259"/>
      <c r="AX150" s="259"/>
      <c r="AY150" s="259"/>
      <c r="AZ150" s="259"/>
      <c r="BA150" s="259"/>
      <c r="BB150" s="259"/>
      <c r="BC150" s="259"/>
      <c r="BD150" s="259"/>
      <c r="BF150" s="259"/>
      <c r="BG150" s="259"/>
      <c r="BH150" s="259"/>
      <c r="BI150" s="259"/>
      <c r="BJ150" s="259"/>
      <c r="BK150" s="259"/>
      <c r="BL150" s="259"/>
      <c r="BN150" s="259"/>
      <c r="BO150" s="259"/>
      <c r="BP150" s="259"/>
      <c r="BQ150" s="259"/>
      <c r="BR150" s="259"/>
      <c r="BS150" s="259"/>
      <c r="BT150" s="259"/>
      <c r="BV150" s="259"/>
      <c r="BW150" s="286">
        <f t="shared" ref="BW150:BW213" si="362">BT150-BV150</f>
        <v>0</v>
      </c>
    </row>
    <row r="151" spans="1:75" x14ac:dyDescent="0.25">
      <c r="A151" s="208" t="s">
        <v>334</v>
      </c>
      <c r="B151" s="260" t="s">
        <v>309</v>
      </c>
      <c r="C151" s="260" t="s">
        <v>310</v>
      </c>
      <c r="D151" s="260" t="s">
        <v>311</v>
      </c>
      <c r="E151" s="260" t="str">
        <f>E134</f>
        <v>Other</v>
      </c>
      <c r="F151" s="260" t="s">
        <v>315</v>
      </c>
      <c r="G151" s="260" t="s">
        <v>314</v>
      </c>
      <c r="H151" s="260" t="s">
        <v>320</v>
      </c>
      <c r="J151" s="260" t="s">
        <v>309</v>
      </c>
      <c r="K151" s="260" t="s">
        <v>310</v>
      </c>
      <c r="L151" s="260" t="s">
        <v>311</v>
      </c>
      <c r="M151" s="260" t="str">
        <f>M134</f>
        <v>Other</v>
      </c>
      <c r="N151" s="260" t="s">
        <v>315</v>
      </c>
      <c r="O151" s="260" t="s">
        <v>314</v>
      </c>
      <c r="P151" s="260" t="str">
        <f>P143</f>
        <v>Cadence</v>
      </c>
      <c r="R151" s="260" t="s">
        <v>309</v>
      </c>
      <c r="S151" s="260" t="s">
        <v>310</v>
      </c>
      <c r="T151" s="260" t="s">
        <v>311</v>
      </c>
      <c r="U151" s="260" t="str">
        <f>U134</f>
        <v>Other</v>
      </c>
      <c r="V151" s="260" t="s">
        <v>315</v>
      </c>
      <c r="W151" s="260" t="s">
        <v>314</v>
      </c>
      <c r="X151" s="260" t="str">
        <f>X143</f>
        <v>St. Rose</v>
      </c>
      <c r="Z151" s="260" t="s">
        <v>309</v>
      </c>
      <c r="AA151" s="260" t="s">
        <v>310</v>
      </c>
      <c r="AB151" s="260" t="s">
        <v>311</v>
      </c>
      <c r="AC151" s="260" t="str">
        <f>AC134</f>
        <v>Other</v>
      </c>
      <c r="AD151" s="260" t="s">
        <v>315</v>
      </c>
      <c r="AE151" s="260" t="s">
        <v>314</v>
      </c>
      <c r="AF151" s="260" t="str">
        <f>AF143</f>
        <v>Inspirada</v>
      </c>
      <c r="AH151" s="260" t="s">
        <v>309</v>
      </c>
      <c r="AI151" s="260" t="s">
        <v>310</v>
      </c>
      <c r="AJ151" s="260" t="s">
        <v>311</v>
      </c>
      <c r="AK151" s="260" t="str">
        <f>AK134</f>
        <v>Other</v>
      </c>
      <c r="AL151" s="260" t="s">
        <v>315</v>
      </c>
      <c r="AM151" s="260" t="s">
        <v>314</v>
      </c>
      <c r="AN151" s="260" t="str">
        <f>AN143</f>
        <v>Sloan</v>
      </c>
      <c r="AP151" s="260" t="s">
        <v>309</v>
      </c>
      <c r="AQ151" s="260" t="s">
        <v>310</v>
      </c>
      <c r="AR151" s="260" t="s">
        <v>311</v>
      </c>
      <c r="AS151" s="260" t="str">
        <f>AS134</f>
        <v>Other</v>
      </c>
      <c r="AT151" s="260" t="s">
        <v>315</v>
      </c>
      <c r="AU151" s="260" t="s">
        <v>314</v>
      </c>
      <c r="AV151" s="260" t="str">
        <f>AV143</f>
        <v>Springs</v>
      </c>
      <c r="AX151" s="260" t="s">
        <v>309</v>
      </c>
      <c r="AY151" s="260" t="s">
        <v>310</v>
      </c>
      <c r="AZ151" s="260" t="s">
        <v>311</v>
      </c>
      <c r="BA151" s="260" t="str">
        <f>BA134</f>
        <v>Other</v>
      </c>
      <c r="BB151" s="260" t="s">
        <v>315</v>
      </c>
      <c r="BC151" s="260" t="s">
        <v>314</v>
      </c>
      <c r="BD151" s="260" t="str">
        <f>BD143</f>
        <v>Virtual</v>
      </c>
      <c r="BF151" s="260" t="s">
        <v>309</v>
      </c>
      <c r="BG151" s="260" t="s">
        <v>310</v>
      </c>
      <c r="BH151" s="260" t="s">
        <v>311</v>
      </c>
      <c r="BI151" s="260" t="str">
        <f>BI134</f>
        <v>Other</v>
      </c>
      <c r="BJ151" s="260" t="s">
        <v>315</v>
      </c>
      <c r="BK151" s="260" t="s">
        <v>314</v>
      </c>
      <c r="BL151" s="260" t="str">
        <f>BL143</f>
        <v>Central</v>
      </c>
      <c r="BN151" s="260" t="s">
        <v>309</v>
      </c>
      <c r="BO151" s="260" t="s">
        <v>310</v>
      </c>
      <c r="BP151" s="260" t="s">
        <v>311</v>
      </c>
      <c r="BQ151" s="260" t="str">
        <f>BQ134</f>
        <v>Other</v>
      </c>
      <c r="BR151" s="260" t="s">
        <v>315</v>
      </c>
      <c r="BS151" s="260" t="s">
        <v>314</v>
      </c>
      <c r="BT151" s="260" t="str">
        <f>BT143</f>
        <v>System</v>
      </c>
      <c r="BV151" s="260" t="s">
        <v>320</v>
      </c>
      <c r="BW151" s="286" t="e">
        <f t="shared" si="362"/>
        <v>#VALUE!</v>
      </c>
    </row>
    <row r="152" spans="1:75" x14ac:dyDescent="0.25">
      <c r="A152" s="214" t="s">
        <v>262</v>
      </c>
      <c r="B152" s="257">
        <v>8500</v>
      </c>
      <c r="C152" s="257"/>
      <c r="D152" s="257"/>
      <c r="E152" s="257"/>
      <c r="F152" s="257"/>
      <c r="G152" s="257"/>
      <c r="H152" s="257">
        <f>SUM(B152:G152)</f>
        <v>8500</v>
      </c>
      <c r="J152" s="257">
        <f>(6500*3)+3000</f>
        <v>22500</v>
      </c>
      <c r="K152" s="257"/>
      <c r="L152" s="257"/>
      <c r="M152" s="257"/>
      <c r="N152" s="257"/>
      <c r="O152" s="257"/>
      <c r="P152" s="257">
        <f>SUM(J152:O152)</f>
        <v>22500</v>
      </c>
      <c r="R152" s="257">
        <f>(6500*2)</f>
        <v>13000</v>
      </c>
      <c r="S152" s="257"/>
      <c r="T152" s="257"/>
      <c r="U152" s="257"/>
      <c r="V152" s="257"/>
      <c r="W152" s="257"/>
      <c r="X152" s="257">
        <f>SUM(R152:W152)</f>
        <v>13000</v>
      </c>
      <c r="Z152" s="257">
        <f>(6500*2)</f>
        <v>13000</v>
      </c>
      <c r="AA152" s="257"/>
      <c r="AB152" s="257"/>
      <c r="AC152" s="257"/>
      <c r="AD152" s="257"/>
      <c r="AE152" s="257"/>
      <c r="AF152" s="257">
        <f>SUM(Z152:AE152)</f>
        <v>13000</v>
      </c>
      <c r="AH152" s="257">
        <f>(6500*3)+3000</f>
        <v>22500</v>
      </c>
      <c r="AI152" s="257"/>
      <c r="AJ152" s="257"/>
      <c r="AK152" s="257"/>
      <c r="AL152" s="257"/>
      <c r="AM152" s="257"/>
      <c r="AN152" s="257">
        <f>SUM(AH152:AM152)</f>
        <v>22500</v>
      </c>
      <c r="AP152" s="257">
        <v>6500</v>
      </c>
      <c r="AQ152" s="257"/>
      <c r="AR152" s="257"/>
      <c r="AS152" s="257"/>
      <c r="AT152" s="257"/>
      <c r="AU152" s="257"/>
      <c r="AV152" s="257">
        <f>SUM(AP152:AU152)</f>
        <v>6500</v>
      </c>
      <c r="AX152" s="257">
        <f>6500*2</f>
        <v>13000</v>
      </c>
      <c r="AY152" s="257"/>
      <c r="AZ152" s="257"/>
      <c r="BA152" s="257"/>
      <c r="BB152" s="257"/>
      <c r="BC152" s="257"/>
      <c r="BD152" s="257">
        <f>SUM(AX152:BC152)</f>
        <v>13000</v>
      </c>
      <c r="BF152" s="241"/>
      <c r="BG152" s="257"/>
      <c r="BH152" s="257"/>
      <c r="BI152" s="257"/>
      <c r="BJ152" s="257"/>
      <c r="BK152" s="257"/>
      <c r="BL152" s="257">
        <f>SUM(BF152:BK152)</f>
        <v>0</v>
      </c>
      <c r="BN152" s="241">
        <f>B152+J152+R152+Z152+AH152+AP152+AX152+BF152</f>
        <v>99000</v>
      </c>
      <c r="BO152" s="241">
        <f t="shared" ref="BO152:BS152" si="363">C152+K152+S152+AA152+AI152+AQ152+AY152+BG152</f>
        <v>0</v>
      </c>
      <c r="BP152" s="241">
        <f t="shared" si="363"/>
        <v>0</v>
      </c>
      <c r="BQ152" s="241">
        <f t="shared" si="363"/>
        <v>0</v>
      </c>
      <c r="BR152" s="241">
        <f t="shared" si="363"/>
        <v>0</v>
      </c>
      <c r="BS152" s="241">
        <f t="shared" si="363"/>
        <v>0</v>
      </c>
      <c r="BT152" s="257">
        <f>SUM(BN152:BS152)</f>
        <v>99000</v>
      </c>
      <c r="BV152" s="257">
        <v>99000</v>
      </c>
      <c r="BW152" s="286">
        <f t="shared" si="362"/>
        <v>0</v>
      </c>
    </row>
    <row r="153" spans="1:75" x14ac:dyDescent="0.25">
      <c r="A153" s="211" t="s">
        <v>263</v>
      </c>
      <c r="B153" s="244"/>
      <c r="C153" s="244">
        <f>(455*B17)</f>
        <v>414050</v>
      </c>
      <c r="D153" s="244"/>
      <c r="E153" s="244"/>
      <c r="F153" s="244"/>
      <c r="G153" s="244"/>
      <c r="H153" s="257">
        <f t="shared" ref="H153:H158" si="364">SUM(B153:G153)</f>
        <v>414050</v>
      </c>
      <c r="J153" s="244"/>
      <c r="K153" s="244">
        <f>(155*J17)</f>
        <v>385330</v>
      </c>
      <c r="L153" s="244"/>
      <c r="M153" s="244"/>
      <c r="N153" s="244"/>
      <c r="O153" s="244"/>
      <c r="P153" s="257">
        <f t="shared" ref="P153:P158" si="365">SUM(J153:O153)</f>
        <v>385330</v>
      </c>
      <c r="R153" s="244"/>
      <c r="S153" s="244">
        <f>(175*R17)</f>
        <v>180250</v>
      </c>
      <c r="T153" s="244"/>
      <c r="U153" s="244"/>
      <c r="V153" s="244"/>
      <c r="W153" s="244"/>
      <c r="X153" s="257">
        <f t="shared" ref="X153:X158" si="366">SUM(R153:W153)</f>
        <v>180250</v>
      </c>
      <c r="Z153" s="244"/>
      <c r="AA153" s="244">
        <f>(85*Z17)</f>
        <v>100640</v>
      </c>
      <c r="AB153" s="244"/>
      <c r="AC153" s="244"/>
      <c r="AD153" s="244"/>
      <c r="AE153" s="244"/>
      <c r="AF153" s="257">
        <f t="shared" ref="AF153:AF158" si="367">SUM(Z153:AE153)</f>
        <v>100640</v>
      </c>
      <c r="AH153" s="244"/>
      <c r="AI153" s="244">
        <f>(175*AH17)</f>
        <v>422800</v>
      </c>
      <c r="AJ153" s="244"/>
      <c r="AK153" s="244"/>
      <c r="AL153" s="244"/>
      <c r="AM153" s="244"/>
      <c r="AN153" s="257">
        <f t="shared" ref="AN153:AN158" si="368">SUM(AH153:AM153)</f>
        <v>422800</v>
      </c>
      <c r="AP153" s="244"/>
      <c r="AQ153" s="280">
        <f>(625*AP17)</f>
        <v>231250</v>
      </c>
      <c r="AR153" s="244"/>
      <c r="AS153" s="244"/>
      <c r="AT153" s="244"/>
      <c r="AU153" s="244"/>
      <c r="AV153" s="257">
        <f t="shared" ref="AV153:AV158" si="369">SUM(AP153:AU153)</f>
        <v>231250</v>
      </c>
      <c r="AX153" s="244"/>
      <c r="AY153" s="280">
        <f>(265*AX17)</f>
        <v>37100</v>
      </c>
      <c r="AZ153" s="244"/>
      <c r="BA153" s="244"/>
      <c r="BB153" s="244"/>
      <c r="BC153" s="244"/>
      <c r="BD153" s="257">
        <f t="shared" ref="BD153:BD158" si="370">SUM(AX153:BC153)</f>
        <v>37100</v>
      </c>
      <c r="BF153" s="244"/>
      <c r="BG153" s="244"/>
      <c r="BH153" s="244"/>
      <c r="BI153" s="244"/>
      <c r="BJ153" s="244"/>
      <c r="BK153" s="244"/>
      <c r="BL153" s="257">
        <f t="shared" ref="BL153:BL158" si="371">SUM(BF153:BK153)</f>
        <v>0</v>
      </c>
      <c r="BN153" s="241">
        <f t="shared" ref="BN153:BN158" si="372">B153+J153+R153+Z153+AH153+AP153+AX153+BF153</f>
        <v>0</v>
      </c>
      <c r="BO153" s="241">
        <f t="shared" ref="BO153:BO158" si="373">C153+K153+S153+AA153+AI153+AQ153+AY153+BG153</f>
        <v>1771420</v>
      </c>
      <c r="BP153" s="241">
        <f t="shared" ref="BP153:BP158" si="374">D153+L153+T153+AB153+AJ153+AR153+AZ153+BH153</f>
        <v>0</v>
      </c>
      <c r="BQ153" s="241">
        <f t="shared" ref="BQ153:BQ158" si="375">E153+M153+U153+AC153+AK153+AS153+BA153+BI153</f>
        <v>0</v>
      </c>
      <c r="BR153" s="241">
        <f t="shared" ref="BR153:BR158" si="376">F153+N153+V153+AD153+AL153+AT153+BB153+BJ153</f>
        <v>0</v>
      </c>
      <c r="BS153" s="241">
        <f t="shared" ref="BS153:BS158" si="377">G153+O153+W153+AE153+AM153+AU153+BC153+BK153</f>
        <v>0</v>
      </c>
      <c r="BT153" s="257">
        <f t="shared" ref="BT153:BT158" si="378">SUM(BN153:BS153)</f>
        <v>1771420</v>
      </c>
      <c r="BV153" s="257">
        <v>1852105</v>
      </c>
      <c r="BW153" s="286">
        <f t="shared" si="362"/>
        <v>-80685</v>
      </c>
    </row>
    <row r="154" spans="1:75" x14ac:dyDescent="0.25">
      <c r="A154" s="211" t="s">
        <v>325</v>
      </c>
      <c r="B154" s="244">
        <f>(205*11*B36)-B124</f>
        <v>60955</v>
      </c>
      <c r="C154" s="244">
        <f>(195*11*C36)-C124</f>
        <v>10725</v>
      </c>
      <c r="D154" s="244">
        <f>(195*11*D36)-D124</f>
        <v>0</v>
      </c>
      <c r="E154" s="244">
        <f>(195*11*E36)-E124</f>
        <v>0</v>
      </c>
      <c r="F154" s="244">
        <f>(195*11*F34)-F124</f>
        <v>0</v>
      </c>
      <c r="G154" s="244">
        <f>(195*11*G34)-G124</f>
        <v>0</v>
      </c>
      <c r="H154" s="257">
        <f t="shared" si="364"/>
        <v>71680</v>
      </c>
      <c r="J154" s="244">
        <f>(205*11*J36)-J124</f>
        <v>131000</v>
      </c>
      <c r="K154" s="244">
        <f>(195*11*K36)-K124</f>
        <v>27885</v>
      </c>
      <c r="L154" s="244">
        <f>(195*11*L36)-L124</f>
        <v>0</v>
      </c>
      <c r="M154" s="244">
        <f>(195*11*M36)-M124</f>
        <v>0</v>
      </c>
      <c r="N154" s="244">
        <f>(195*11*N34)-N124</f>
        <v>0</v>
      </c>
      <c r="O154" s="244">
        <f>(195*11*O34)-O124</f>
        <v>0</v>
      </c>
      <c r="P154" s="257">
        <f t="shared" si="365"/>
        <v>158885</v>
      </c>
      <c r="R154" s="244">
        <f>(205*11*R36)-R124</f>
        <v>67720</v>
      </c>
      <c r="S154" s="244">
        <f>(195*11*S36)-S124</f>
        <v>8580</v>
      </c>
      <c r="T154" s="244">
        <f>(195*11*T36)-T124</f>
        <v>0</v>
      </c>
      <c r="U154" s="244">
        <f>(195*11*U36)-U124</f>
        <v>0</v>
      </c>
      <c r="V154" s="244">
        <f>(195*11*V34)-V124</f>
        <v>0</v>
      </c>
      <c r="W154" s="244">
        <f>(195*11*W34)-W124</f>
        <v>0</v>
      </c>
      <c r="X154" s="257">
        <f t="shared" si="366"/>
        <v>76300</v>
      </c>
      <c r="Z154" s="244">
        <f>(205*11*Z36)-Z124</f>
        <v>63280</v>
      </c>
      <c r="AA154" s="244">
        <f>(195*11*AA36)-AA124</f>
        <v>10725</v>
      </c>
      <c r="AB154" s="244">
        <f>(195*11*AB36)-AB124</f>
        <v>0</v>
      </c>
      <c r="AC154" s="244">
        <f>(195*11*AC36)-AC124</f>
        <v>0</v>
      </c>
      <c r="AD154" s="244">
        <f>(195*11*AD34)-AD124</f>
        <v>0</v>
      </c>
      <c r="AE154" s="244">
        <f>(195*11*AE34)-AE124</f>
        <v>0</v>
      </c>
      <c r="AF154" s="257">
        <f t="shared" si="367"/>
        <v>74005</v>
      </c>
      <c r="AH154" s="244">
        <f>(205*11*AH36)-AH124</f>
        <v>99500</v>
      </c>
      <c r="AI154" s="244">
        <f>(195*11*AI36)-AI124</f>
        <v>25740</v>
      </c>
      <c r="AJ154" s="244">
        <f>(195*11*AJ36)-AJ124</f>
        <v>0</v>
      </c>
      <c r="AK154" s="244">
        <f>(195*11*AK36)-AK124</f>
        <v>0</v>
      </c>
      <c r="AL154" s="244">
        <f>(195*11*AL34)-AL124</f>
        <v>0</v>
      </c>
      <c r="AM154" s="244">
        <f>(195*11*AM34)-AM124</f>
        <v>0</v>
      </c>
      <c r="AN154" s="257">
        <f t="shared" si="368"/>
        <v>125240</v>
      </c>
      <c r="AP154" s="244">
        <f>(205*11*AP36)-AP124</f>
        <v>40590</v>
      </c>
      <c r="AQ154" s="244">
        <f>(195*11*AQ36)-AQ124</f>
        <v>2145</v>
      </c>
      <c r="AR154" s="244">
        <f>(195*11*AR36)-AR124</f>
        <v>0</v>
      </c>
      <c r="AS154" s="244">
        <f>(195*11*AS36)-AS124</f>
        <v>0</v>
      </c>
      <c r="AT154" s="244">
        <f>(195*11*AT34)-AT124</f>
        <v>0</v>
      </c>
      <c r="AU154" s="244">
        <f>(195*11*AU34)-AU124</f>
        <v>0</v>
      </c>
      <c r="AV154" s="257">
        <f t="shared" si="369"/>
        <v>42735</v>
      </c>
      <c r="AX154" s="244">
        <f>(195*11*AX36)-AX124</f>
        <v>0</v>
      </c>
      <c r="AY154" s="244">
        <f>(195*11*AY36)-AY124</f>
        <v>2145</v>
      </c>
      <c r="AZ154" s="244">
        <f>(195*11*AZ36)-AZ124</f>
        <v>0</v>
      </c>
      <c r="BA154" s="244">
        <f>(195*11*BA36)-BA124</f>
        <v>0</v>
      </c>
      <c r="BB154" s="244">
        <f>(195*11*BB34)-BB124</f>
        <v>0</v>
      </c>
      <c r="BC154" s="244">
        <f>(195*11*BC34)-BC124</f>
        <v>0</v>
      </c>
      <c r="BD154" s="257">
        <f t="shared" si="370"/>
        <v>2145</v>
      </c>
      <c r="BF154" s="244"/>
      <c r="BG154" s="244"/>
      <c r="BH154" s="244"/>
      <c r="BI154" s="244"/>
      <c r="BJ154" s="244"/>
      <c r="BK154" s="244"/>
      <c r="BL154" s="257">
        <f t="shared" si="371"/>
        <v>0</v>
      </c>
      <c r="BN154" s="241">
        <f t="shared" si="372"/>
        <v>463045</v>
      </c>
      <c r="BO154" s="241">
        <f t="shared" si="373"/>
        <v>87945</v>
      </c>
      <c r="BP154" s="241">
        <f t="shared" si="374"/>
        <v>0</v>
      </c>
      <c r="BQ154" s="241">
        <f t="shared" si="375"/>
        <v>0</v>
      </c>
      <c r="BR154" s="241">
        <f t="shared" si="376"/>
        <v>0</v>
      </c>
      <c r="BS154" s="241">
        <f t="shared" si="377"/>
        <v>0</v>
      </c>
      <c r="BT154" s="257">
        <f t="shared" si="378"/>
        <v>550990</v>
      </c>
      <c r="BV154" s="257">
        <v>548735</v>
      </c>
      <c r="BW154" s="286">
        <f t="shared" si="362"/>
        <v>2255</v>
      </c>
    </row>
    <row r="155" spans="1:75" x14ac:dyDescent="0.25">
      <c r="A155" s="211" t="s">
        <v>264</v>
      </c>
      <c r="B155" s="244"/>
      <c r="C155" s="244"/>
      <c r="D155" s="244"/>
      <c r="E155" s="244"/>
      <c r="F155" s="244"/>
      <c r="G155" s="244"/>
      <c r="H155" s="257">
        <f t="shared" si="364"/>
        <v>0</v>
      </c>
      <c r="J155" s="244"/>
      <c r="K155" s="244"/>
      <c r="L155" s="244"/>
      <c r="M155" s="244"/>
      <c r="N155" s="244"/>
      <c r="O155" s="244"/>
      <c r="P155" s="257">
        <f t="shared" si="365"/>
        <v>0</v>
      </c>
      <c r="R155" s="244"/>
      <c r="S155" s="244"/>
      <c r="T155" s="244"/>
      <c r="U155" s="244"/>
      <c r="V155" s="244"/>
      <c r="W155" s="244"/>
      <c r="X155" s="257">
        <f t="shared" si="366"/>
        <v>0</v>
      </c>
      <c r="Z155" s="244"/>
      <c r="AA155" s="244"/>
      <c r="AB155" s="244"/>
      <c r="AC155" s="244"/>
      <c r="AD155" s="244"/>
      <c r="AE155" s="244"/>
      <c r="AF155" s="257">
        <f t="shared" si="367"/>
        <v>0</v>
      </c>
      <c r="AH155" s="244"/>
      <c r="AI155" s="244"/>
      <c r="AJ155" s="244"/>
      <c r="AK155" s="244"/>
      <c r="AL155" s="244"/>
      <c r="AM155" s="244"/>
      <c r="AN155" s="257">
        <f t="shared" si="368"/>
        <v>0</v>
      </c>
      <c r="AP155" s="244"/>
      <c r="AQ155" s="244"/>
      <c r="AR155" s="244"/>
      <c r="AS155" s="244"/>
      <c r="AT155" s="244"/>
      <c r="AU155" s="244"/>
      <c r="AV155" s="257">
        <f t="shared" si="369"/>
        <v>0</v>
      </c>
      <c r="AX155" s="244">
        <f>(125*12)*AX17</f>
        <v>210000</v>
      </c>
      <c r="AY155" s="244"/>
      <c r="AZ155" s="244"/>
      <c r="BA155" s="244"/>
      <c r="BB155" s="244"/>
      <c r="BC155" s="244"/>
      <c r="BD155" s="257">
        <f t="shared" si="370"/>
        <v>210000</v>
      </c>
      <c r="BF155" s="244"/>
      <c r="BG155" s="244"/>
      <c r="BH155" s="244"/>
      <c r="BI155" s="244"/>
      <c r="BJ155" s="244"/>
      <c r="BK155" s="244"/>
      <c r="BL155" s="257">
        <f t="shared" si="371"/>
        <v>0</v>
      </c>
      <c r="BN155" s="241">
        <f t="shared" si="372"/>
        <v>210000</v>
      </c>
      <c r="BO155" s="241">
        <f t="shared" si="373"/>
        <v>0</v>
      </c>
      <c r="BP155" s="241">
        <f t="shared" si="374"/>
        <v>0</v>
      </c>
      <c r="BQ155" s="241">
        <f t="shared" si="375"/>
        <v>0</v>
      </c>
      <c r="BR155" s="241">
        <f t="shared" si="376"/>
        <v>0</v>
      </c>
      <c r="BS155" s="241">
        <f t="shared" si="377"/>
        <v>0</v>
      </c>
      <c r="BT155" s="257">
        <f t="shared" si="378"/>
        <v>210000</v>
      </c>
      <c r="BV155" s="257">
        <v>210000</v>
      </c>
      <c r="BW155" s="286">
        <f t="shared" si="362"/>
        <v>0</v>
      </c>
    </row>
    <row r="156" spans="1:75" x14ac:dyDescent="0.25">
      <c r="A156" s="211" t="s">
        <v>265</v>
      </c>
      <c r="B156" s="244">
        <f>B68*0.005</f>
        <v>42842.8</v>
      </c>
      <c r="C156" s="244"/>
      <c r="D156" s="244"/>
      <c r="E156" s="244"/>
      <c r="F156" s="244"/>
      <c r="G156" s="244"/>
      <c r="H156" s="257">
        <f t="shared" si="364"/>
        <v>42842.8</v>
      </c>
      <c r="J156" s="244">
        <f>J68*0.005</f>
        <v>117040.88</v>
      </c>
      <c r="K156" s="244"/>
      <c r="L156" s="244"/>
      <c r="M156" s="244"/>
      <c r="N156" s="244"/>
      <c r="O156" s="244"/>
      <c r="P156" s="257">
        <f t="shared" si="365"/>
        <v>117040.88</v>
      </c>
      <c r="R156" s="244">
        <f>R68*0.005</f>
        <v>48492.4</v>
      </c>
      <c r="S156" s="244"/>
      <c r="T156" s="244"/>
      <c r="U156" s="244"/>
      <c r="V156" s="244"/>
      <c r="W156" s="244"/>
      <c r="X156" s="257">
        <f t="shared" si="366"/>
        <v>48492.4</v>
      </c>
      <c r="Z156" s="244">
        <f>Z68*0.005</f>
        <v>55742.720000000001</v>
      </c>
      <c r="AA156" s="244"/>
      <c r="AB156" s="244"/>
      <c r="AC156" s="244"/>
      <c r="AD156" s="244"/>
      <c r="AE156" s="244"/>
      <c r="AF156" s="257">
        <f t="shared" si="367"/>
        <v>55742.720000000001</v>
      </c>
      <c r="AH156" s="244">
        <f>AH68*0.005</f>
        <v>113745.28</v>
      </c>
      <c r="AI156" s="244"/>
      <c r="AJ156" s="244"/>
      <c r="AK156" s="244"/>
      <c r="AL156" s="244"/>
      <c r="AM156" s="244"/>
      <c r="AN156" s="257">
        <f t="shared" si="368"/>
        <v>113745.28</v>
      </c>
      <c r="AP156" s="244">
        <f>AP68*0.005</f>
        <v>17419.599999999999</v>
      </c>
      <c r="AQ156" s="244"/>
      <c r="AR156" s="244"/>
      <c r="AS156" s="244"/>
      <c r="AT156" s="244"/>
      <c r="AU156" s="244"/>
      <c r="AV156" s="257">
        <f t="shared" si="369"/>
        <v>17419.599999999999</v>
      </c>
      <c r="AX156" s="244">
        <f>AX68*0.005</f>
        <v>6591.2</v>
      </c>
      <c r="AY156" s="244"/>
      <c r="AZ156" s="244"/>
      <c r="BA156" s="244"/>
      <c r="BB156" s="244"/>
      <c r="BC156" s="244"/>
      <c r="BD156" s="257">
        <f t="shared" si="370"/>
        <v>6591.2</v>
      </c>
      <c r="BF156" s="244"/>
      <c r="BG156" s="244"/>
      <c r="BH156" s="244"/>
      <c r="BI156" s="244"/>
      <c r="BJ156" s="244"/>
      <c r="BK156" s="244"/>
      <c r="BL156" s="257">
        <f t="shared" si="371"/>
        <v>0</v>
      </c>
      <c r="BN156" s="241">
        <f t="shared" si="372"/>
        <v>401874.87999999995</v>
      </c>
      <c r="BO156" s="241">
        <f t="shared" si="373"/>
        <v>0</v>
      </c>
      <c r="BP156" s="241">
        <f t="shared" si="374"/>
        <v>0</v>
      </c>
      <c r="BQ156" s="241">
        <f t="shared" si="375"/>
        <v>0</v>
      </c>
      <c r="BR156" s="241">
        <f t="shared" si="376"/>
        <v>0</v>
      </c>
      <c r="BS156" s="241">
        <f t="shared" si="377"/>
        <v>0</v>
      </c>
      <c r="BT156" s="257">
        <f t="shared" si="378"/>
        <v>401874.87999999995</v>
      </c>
      <c r="BV156" s="257">
        <v>402392.76</v>
      </c>
      <c r="BW156" s="286">
        <f t="shared" si="362"/>
        <v>-517.88000000006286</v>
      </c>
    </row>
    <row r="157" spans="1:75" x14ac:dyDescent="0.25">
      <c r="A157" s="211" t="s">
        <v>266</v>
      </c>
      <c r="B157" s="244">
        <f>(B68*0.005)</f>
        <v>42842.8</v>
      </c>
      <c r="C157" s="244"/>
      <c r="D157" s="244"/>
      <c r="E157" s="244"/>
      <c r="F157" s="244"/>
      <c r="G157" s="244"/>
      <c r="H157" s="257">
        <f t="shared" si="364"/>
        <v>42842.8</v>
      </c>
      <c r="J157" s="244">
        <f>(J68*0.005)</f>
        <v>117040.88</v>
      </c>
      <c r="K157" s="244"/>
      <c r="L157" s="244"/>
      <c r="M157" s="244"/>
      <c r="N157" s="244"/>
      <c r="O157" s="244"/>
      <c r="P157" s="257">
        <f t="shared" si="365"/>
        <v>117040.88</v>
      </c>
      <c r="R157" s="244">
        <f>(R68*0.005)</f>
        <v>48492.4</v>
      </c>
      <c r="S157" s="244"/>
      <c r="T157" s="244"/>
      <c r="U157" s="244"/>
      <c r="V157" s="244"/>
      <c r="W157" s="244"/>
      <c r="X157" s="257">
        <f t="shared" si="366"/>
        <v>48492.4</v>
      </c>
      <c r="Z157" s="244">
        <f>(Z68*0.005)</f>
        <v>55742.720000000001</v>
      </c>
      <c r="AA157" s="244"/>
      <c r="AB157" s="244"/>
      <c r="AC157" s="244"/>
      <c r="AD157" s="244"/>
      <c r="AE157" s="244"/>
      <c r="AF157" s="257">
        <f t="shared" si="367"/>
        <v>55742.720000000001</v>
      </c>
      <c r="AH157" s="244">
        <f>(AH68*0.005)</f>
        <v>113745.28</v>
      </c>
      <c r="AI157" s="244"/>
      <c r="AJ157" s="244"/>
      <c r="AK157" s="244"/>
      <c r="AL157" s="244"/>
      <c r="AM157" s="244"/>
      <c r="AN157" s="257">
        <f t="shared" si="368"/>
        <v>113745.28</v>
      </c>
      <c r="AP157" s="244">
        <f>(AP68*0.005)</f>
        <v>17419.599999999999</v>
      </c>
      <c r="AQ157" s="244"/>
      <c r="AR157" s="244"/>
      <c r="AS157" s="244"/>
      <c r="AT157" s="244"/>
      <c r="AU157" s="244"/>
      <c r="AV157" s="257">
        <f t="shared" si="369"/>
        <v>17419.599999999999</v>
      </c>
      <c r="AX157" s="244">
        <f>(AX68*0.005)</f>
        <v>6591.2</v>
      </c>
      <c r="AY157" s="244"/>
      <c r="AZ157" s="244"/>
      <c r="BA157" s="244"/>
      <c r="BB157" s="244"/>
      <c r="BC157" s="244"/>
      <c r="BD157" s="257">
        <f t="shared" si="370"/>
        <v>6591.2</v>
      </c>
      <c r="BF157" s="244"/>
      <c r="BG157" s="244"/>
      <c r="BH157" s="244"/>
      <c r="BI157" s="244"/>
      <c r="BJ157" s="244"/>
      <c r="BK157" s="244"/>
      <c r="BL157" s="257">
        <f t="shared" si="371"/>
        <v>0</v>
      </c>
      <c r="BN157" s="241">
        <f t="shared" si="372"/>
        <v>401874.87999999995</v>
      </c>
      <c r="BO157" s="241">
        <f t="shared" si="373"/>
        <v>0</v>
      </c>
      <c r="BP157" s="241">
        <f t="shared" si="374"/>
        <v>0</v>
      </c>
      <c r="BQ157" s="241">
        <f t="shared" si="375"/>
        <v>0</v>
      </c>
      <c r="BR157" s="241">
        <f t="shared" si="376"/>
        <v>0</v>
      </c>
      <c r="BS157" s="241">
        <f t="shared" si="377"/>
        <v>0</v>
      </c>
      <c r="BT157" s="257">
        <f t="shared" si="378"/>
        <v>401874.87999999995</v>
      </c>
      <c r="BV157" s="257">
        <v>402392.76</v>
      </c>
      <c r="BW157" s="286">
        <f t="shared" si="362"/>
        <v>-517.88000000006286</v>
      </c>
    </row>
    <row r="158" spans="1:75" x14ac:dyDescent="0.25">
      <c r="A158" s="212" t="s">
        <v>267</v>
      </c>
      <c r="B158" s="245"/>
      <c r="C158" s="245"/>
      <c r="D158" s="245"/>
      <c r="E158" s="245"/>
      <c r="F158" s="245"/>
      <c r="G158" s="245"/>
      <c r="H158" s="257">
        <f t="shared" si="364"/>
        <v>0</v>
      </c>
      <c r="J158" s="245"/>
      <c r="K158" s="245"/>
      <c r="L158" s="245"/>
      <c r="M158" s="245"/>
      <c r="N158" s="245"/>
      <c r="O158" s="245"/>
      <c r="P158" s="257">
        <f t="shared" si="365"/>
        <v>0</v>
      </c>
      <c r="R158" s="245"/>
      <c r="S158" s="245"/>
      <c r="T158" s="245"/>
      <c r="U158" s="245"/>
      <c r="V158" s="245"/>
      <c r="W158" s="245"/>
      <c r="X158" s="257">
        <f t="shared" si="366"/>
        <v>0</v>
      </c>
      <c r="Z158" s="245"/>
      <c r="AA158" s="245"/>
      <c r="AB158" s="245"/>
      <c r="AC158" s="245"/>
      <c r="AD158" s="245"/>
      <c r="AE158" s="245"/>
      <c r="AF158" s="257">
        <f t="shared" si="367"/>
        <v>0</v>
      </c>
      <c r="AH158" s="245"/>
      <c r="AI158" s="245"/>
      <c r="AJ158" s="245"/>
      <c r="AK158" s="245"/>
      <c r="AL158" s="245"/>
      <c r="AM158" s="245"/>
      <c r="AN158" s="257">
        <f t="shared" si="368"/>
        <v>0</v>
      </c>
      <c r="AP158" s="245"/>
      <c r="AQ158" s="245"/>
      <c r="AR158" s="245"/>
      <c r="AS158" s="245"/>
      <c r="AT158" s="245"/>
      <c r="AU158" s="245"/>
      <c r="AV158" s="257">
        <f t="shared" si="369"/>
        <v>0</v>
      </c>
      <c r="AX158" s="245"/>
      <c r="AY158" s="245"/>
      <c r="AZ158" s="245"/>
      <c r="BA158" s="245"/>
      <c r="BB158" s="245"/>
      <c r="BC158" s="245"/>
      <c r="BD158" s="257">
        <f t="shared" si="370"/>
        <v>0</v>
      </c>
      <c r="BF158" s="245"/>
      <c r="BG158" s="245"/>
      <c r="BH158" s="245"/>
      <c r="BI158" s="245"/>
      <c r="BJ158" s="245"/>
      <c r="BK158" s="245"/>
      <c r="BL158" s="257">
        <f t="shared" si="371"/>
        <v>0</v>
      </c>
      <c r="BN158" s="241">
        <f t="shared" si="372"/>
        <v>0</v>
      </c>
      <c r="BO158" s="241">
        <f t="shared" si="373"/>
        <v>0</v>
      </c>
      <c r="BP158" s="241">
        <f t="shared" si="374"/>
        <v>0</v>
      </c>
      <c r="BQ158" s="241">
        <f t="shared" si="375"/>
        <v>0</v>
      </c>
      <c r="BR158" s="241">
        <f t="shared" si="376"/>
        <v>0</v>
      </c>
      <c r="BS158" s="241">
        <f t="shared" si="377"/>
        <v>0</v>
      </c>
      <c r="BT158" s="257">
        <f t="shared" si="378"/>
        <v>0</v>
      </c>
      <c r="BV158" s="257">
        <v>0</v>
      </c>
      <c r="BW158" s="286">
        <f t="shared" si="362"/>
        <v>0</v>
      </c>
    </row>
    <row r="159" spans="1:75" x14ac:dyDescent="0.25">
      <c r="A159" s="213"/>
      <c r="B159" s="258">
        <f>SUM(B152:B158)</f>
        <v>155140.6</v>
      </c>
      <c r="C159" s="258">
        <f t="shared" ref="C159:G159" si="379">SUM(C152:C158)</f>
        <v>424775</v>
      </c>
      <c r="D159" s="258">
        <f t="shared" si="379"/>
        <v>0</v>
      </c>
      <c r="E159" s="258">
        <f t="shared" si="379"/>
        <v>0</v>
      </c>
      <c r="F159" s="258">
        <f t="shared" si="379"/>
        <v>0</v>
      </c>
      <c r="G159" s="258">
        <f t="shared" si="379"/>
        <v>0</v>
      </c>
      <c r="H159" s="258">
        <f>SUM(H152:H158)</f>
        <v>579915.60000000009</v>
      </c>
      <c r="J159" s="258">
        <f>SUM(J152:J158)</f>
        <v>387581.76</v>
      </c>
      <c r="K159" s="258">
        <f t="shared" ref="K159:O159" si="380">SUM(K152:K158)</f>
        <v>413215</v>
      </c>
      <c r="L159" s="258">
        <f t="shared" si="380"/>
        <v>0</v>
      </c>
      <c r="M159" s="258">
        <f t="shared" si="380"/>
        <v>0</v>
      </c>
      <c r="N159" s="258">
        <f t="shared" si="380"/>
        <v>0</v>
      </c>
      <c r="O159" s="258">
        <f t="shared" si="380"/>
        <v>0</v>
      </c>
      <c r="P159" s="258">
        <f>SUM(P152:P158)</f>
        <v>800796.76</v>
      </c>
      <c r="R159" s="258">
        <f>SUM(R152:R158)</f>
        <v>177704.8</v>
      </c>
      <c r="S159" s="258">
        <f t="shared" ref="S159:W159" si="381">SUM(S152:S158)</f>
        <v>188830</v>
      </c>
      <c r="T159" s="258">
        <f t="shared" si="381"/>
        <v>0</v>
      </c>
      <c r="U159" s="258">
        <f t="shared" si="381"/>
        <v>0</v>
      </c>
      <c r="V159" s="258">
        <f t="shared" si="381"/>
        <v>0</v>
      </c>
      <c r="W159" s="258">
        <f t="shared" si="381"/>
        <v>0</v>
      </c>
      <c r="X159" s="258">
        <f>SUM(X152:X158)</f>
        <v>366534.80000000005</v>
      </c>
      <c r="Z159" s="258">
        <f>SUM(Z152:Z158)</f>
        <v>187765.44</v>
      </c>
      <c r="AA159" s="258">
        <f t="shared" ref="AA159:AE159" si="382">SUM(AA152:AA158)</f>
        <v>111365</v>
      </c>
      <c r="AB159" s="258">
        <f t="shared" si="382"/>
        <v>0</v>
      </c>
      <c r="AC159" s="258">
        <f t="shared" si="382"/>
        <v>0</v>
      </c>
      <c r="AD159" s="258">
        <f t="shared" si="382"/>
        <v>0</v>
      </c>
      <c r="AE159" s="258">
        <f t="shared" si="382"/>
        <v>0</v>
      </c>
      <c r="AF159" s="258">
        <f>SUM(AF152:AF158)</f>
        <v>299130.44</v>
      </c>
      <c r="AH159" s="258">
        <f>SUM(AH152:AH158)</f>
        <v>349490.56</v>
      </c>
      <c r="AI159" s="258">
        <f t="shared" ref="AI159:AM159" si="383">SUM(AI152:AI158)</f>
        <v>448540</v>
      </c>
      <c r="AJ159" s="258">
        <f t="shared" si="383"/>
        <v>0</v>
      </c>
      <c r="AK159" s="258">
        <f t="shared" si="383"/>
        <v>0</v>
      </c>
      <c r="AL159" s="258">
        <f t="shared" si="383"/>
        <v>0</v>
      </c>
      <c r="AM159" s="258">
        <f t="shared" si="383"/>
        <v>0</v>
      </c>
      <c r="AN159" s="258">
        <f>SUM(AN152:AN158)</f>
        <v>798030.56</v>
      </c>
      <c r="AP159" s="258">
        <f>SUM(AP152:AP158)</f>
        <v>81929.2</v>
      </c>
      <c r="AQ159" s="258">
        <f t="shared" ref="AQ159:AU159" si="384">SUM(AQ152:AQ158)</f>
        <v>233395</v>
      </c>
      <c r="AR159" s="258">
        <f t="shared" si="384"/>
        <v>0</v>
      </c>
      <c r="AS159" s="258">
        <f t="shared" si="384"/>
        <v>0</v>
      </c>
      <c r="AT159" s="258">
        <f t="shared" si="384"/>
        <v>0</v>
      </c>
      <c r="AU159" s="258">
        <f t="shared" si="384"/>
        <v>0</v>
      </c>
      <c r="AV159" s="258">
        <f>SUM(AV152:AV158)</f>
        <v>315324.19999999995</v>
      </c>
      <c r="AX159" s="258">
        <f>SUM(AX152:AX158)</f>
        <v>236182.40000000002</v>
      </c>
      <c r="AY159" s="258">
        <f t="shared" ref="AY159:BC159" si="385">SUM(AY152:AY158)</f>
        <v>39245</v>
      </c>
      <c r="AZ159" s="258">
        <f t="shared" si="385"/>
        <v>0</v>
      </c>
      <c r="BA159" s="258">
        <f t="shared" si="385"/>
        <v>0</v>
      </c>
      <c r="BB159" s="258">
        <f t="shared" si="385"/>
        <v>0</v>
      </c>
      <c r="BC159" s="258">
        <f t="shared" si="385"/>
        <v>0</v>
      </c>
      <c r="BD159" s="258">
        <f>SUM(BD152:BD158)</f>
        <v>275427.40000000002</v>
      </c>
      <c r="BF159" s="258">
        <f>SUM(BF152:BF158)</f>
        <v>0</v>
      </c>
      <c r="BG159" s="258">
        <f t="shared" ref="BG159:BK159" si="386">SUM(BG152:BG158)</f>
        <v>0</v>
      </c>
      <c r="BH159" s="258">
        <f t="shared" si="386"/>
        <v>0</v>
      </c>
      <c r="BI159" s="258">
        <f t="shared" si="386"/>
        <v>0</v>
      </c>
      <c r="BJ159" s="258">
        <f t="shared" si="386"/>
        <v>0</v>
      </c>
      <c r="BK159" s="258">
        <f t="shared" si="386"/>
        <v>0</v>
      </c>
      <c r="BL159" s="258">
        <f>SUM(BL152:BL158)</f>
        <v>0</v>
      </c>
      <c r="BN159" s="258">
        <f>SUM(BN152:BN158)</f>
        <v>1575794.7599999998</v>
      </c>
      <c r="BO159" s="258">
        <f t="shared" ref="BO159:BS159" si="387">SUM(BO152:BO158)</f>
        <v>1859365</v>
      </c>
      <c r="BP159" s="258">
        <f t="shared" si="387"/>
        <v>0</v>
      </c>
      <c r="BQ159" s="258">
        <f t="shared" si="387"/>
        <v>0</v>
      </c>
      <c r="BR159" s="258">
        <f t="shared" si="387"/>
        <v>0</v>
      </c>
      <c r="BS159" s="258">
        <f t="shared" si="387"/>
        <v>0</v>
      </c>
      <c r="BT159" s="258">
        <f>SUM(BT152:BT158)</f>
        <v>3435159.76</v>
      </c>
      <c r="BV159" s="258">
        <v>3514625.5199999996</v>
      </c>
      <c r="BW159" s="286">
        <f t="shared" si="362"/>
        <v>-79465.759999999776</v>
      </c>
    </row>
    <row r="160" spans="1:75" x14ac:dyDescent="0.25">
      <c r="B160" s="259"/>
      <c r="C160" s="259"/>
      <c r="D160" s="259"/>
      <c r="E160" s="259"/>
      <c r="F160" s="259"/>
      <c r="G160" s="259"/>
      <c r="H160" s="259"/>
      <c r="J160" s="259"/>
      <c r="K160" s="259"/>
      <c r="L160" s="259"/>
      <c r="M160" s="259"/>
      <c r="N160" s="259"/>
      <c r="O160" s="259"/>
      <c r="P160" s="259"/>
      <c r="R160" s="259"/>
      <c r="S160" s="259"/>
      <c r="T160" s="259"/>
      <c r="U160" s="259"/>
      <c r="V160" s="259"/>
      <c r="W160" s="259"/>
      <c r="X160" s="259"/>
      <c r="Z160" s="259"/>
      <c r="AA160" s="259"/>
      <c r="AB160" s="259"/>
      <c r="AC160" s="259"/>
      <c r="AD160" s="259"/>
      <c r="AE160" s="259"/>
      <c r="AF160" s="259"/>
      <c r="AH160" s="259"/>
      <c r="AI160" s="259"/>
      <c r="AJ160" s="259"/>
      <c r="AK160" s="259"/>
      <c r="AL160" s="259"/>
      <c r="AM160" s="259"/>
      <c r="AN160" s="259"/>
      <c r="AP160" s="259"/>
      <c r="AQ160" s="259"/>
      <c r="AR160" s="259"/>
      <c r="AS160" s="259"/>
      <c r="AT160" s="259"/>
      <c r="AU160" s="259"/>
      <c r="AV160" s="259"/>
      <c r="AX160" s="259"/>
      <c r="AY160" s="259"/>
      <c r="AZ160" s="259"/>
      <c r="BA160" s="259"/>
      <c r="BB160" s="259"/>
      <c r="BC160" s="259"/>
      <c r="BD160" s="259"/>
      <c r="BF160" s="259"/>
      <c r="BG160" s="259"/>
      <c r="BH160" s="259"/>
      <c r="BI160" s="259"/>
      <c r="BJ160" s="259"/>
      <c r="BK160" s="259"/>
      <c r="BL160" s="259"/>
      <c r="BN160" s="259"/>
      <c r="BO160" s="259"/>
      <c r="BP160" s="259"/>
      <c r="BQ160" s="259"/>
      <c r="BR160" s="259"/>
      <c r="BS160" s="259"/>
      <c r="BT160" s="259"/>
      <c r="BV160" s="259"/>
      <c r="BW160" s="286">
        <f t="shared" si="362"/>
        <v>0</v>
      </c>
    </row>
    <row r="161" spans="1:75" x14ac:dyDescent="0.25">
      <c r="A161" s="208" t="s">
        <v>335</v>
      </c>
      <c r="B161" s="260" t="s">
        <v>309</v>
      </c>
      <c r="C161" s="260" t="s">
        <v>310</v>
      </c>
      <c r="D161" s="260" t="s">
        <v>311</v>
      </c>
      <c r="E161" s="260" t="str">
        <f>E151</f>
        <v>Other</v>
      </c>
      <c r="F161" s="260" t="s">
        <v>315</v>
      </c>
      <c r="G161" s="260" t="s">
        <v>314</v>
      </c>
      <c r="H161" s="260" t="s">
        <v>320</v>
      </c>
      <c r="J161" s="260" t="s">
        <v>309</v>
      </c>
      <c r="K161" s="260" t="s">
        <v>310</v>
      </c>
      <c r="L161" s="260" t="s">
        <v>311</v>
      </c>
      <c r="M161" s="260" t="str">
        <f>M151</f>
        <v>Other</v>
      </c>
      <c r="N161" s="260" t="s">
        <v>315</v>
      </c>
      <c r="O161" s="260" t="s">
        <v>314</v>
      </c>
      <c r="P161" s="260" t="str">
        <f>P151</f>
        <v>Cadence</v>
      </c>
      <c r="R161" s="260" t="s">
        <v>309</v>
      </c>
      <c r="S161" s="260" t="s">
        <v>310</v>
      </c>
      <c r="T161" s="260" t="s">
        <v>311</v>
      </c>
      <c r="U161" s="260" t="str">
        <f>U151</f>
        <v>Other</v>
      </c>
      <c r="V161" s="260" t="s">
        <v>315</v>
      </c>
      <c r="W161" s="260" t="s">
        <v>314</v>
      </c>
      <c r="X161" s="260" t="str">
        <f>X151</f>
        <v>St. Rose</v>
      </c>
      <c r="Z161" s="260" t="s">
        <v>309</v>
      </c>
      <c r="AA161" s="260" t="s">
        <v>310</v>
      </c>
      <c r="AB161" s="260" t="s">
        <v>311</v>
      </c>
      <c r="AC161" s="260" t="str">
        <f>AC151</f>
        <v>Other</v>
      </c>
      <c r="AD161" s="260" t="s">
        <v>315</v>
      </c>
      <c r="AE161" s="260" t="s">
        <v>314</v>
      </c>
      <c r="AF161" s="260" t="str">
        <f>AF151</f>
        <v>Inspirada</v>
      </c>
      <c r="AH161" s="260" t="s">
        <v>309</v>
      </c>
      <c r="AI161" s="260" t="s">
        <v>310</v>
      </c>
      <c r="AJ161" s="260" t="s">
        <v>311</v>
      </c>
      <c r="AK161" s="260" t="str">
        <f>AK151</f>
        <v>Other</v>
      </c>
      <c r="AL161" s="260" t="s">
        <v>315</v>
      </c>
      <c r="AM161" s="260" t="s">
        <v>314</v>
      </c>
      <c r="AN161" s="260" t="str">
        <f>AN151</f>
        <v>Sloan</v>
      </c>
      <c r="AP161" s="260" t="s">
        <v>309</v>
      </c>
      <c r="AQ161" s="260" t="s">
        <v>310</v>
      </c>
      <c r="AR161" s="260" t="s">
        <v>311</v>
      </c>
      <c r="AS161" s="260" t="str">
        <f>AS151</f>
        <v>Other</v>
      </c>
      <c r="AT161" s="260" t="s">
        <v>315</v>
      </c>
      <c r="AU161" s="260" t="s">
        <v>314</v>
      </c>
      <c r="AV161" s="260" t="str">
        <f>AV151</f>
        <v>Springs</v>
      </c>
      <c r="AX161" s="260" t="s">
        <v>309</v>
      </c>
      <c r="AY161" s="260" t="s">
        <v>310</v>
      </c>
      <c r="AZ161" s="260" t="s">
        <v>311</v>
      </c>
      <c r="BA161" s="260" t="str">
        <f>BA151</f>
        <v>Other</v>
      </c>
      <c r="BB161" s="260" t="s">
        <v>315</v>
      </c>
      <c r="BC161" s="260" t="s">
        <v>314</v>
      </c>
      <c r="BD161" s="260" t="str">
        <f>BD151</f>
        <v>Virtual</v>
      </c>
      <c r="BF161" s="260" t="s">
        <v>309</v>
      </c>
      <c r="BG161" s="260" t="s">
        <v>310</v>
      </c>
      <c r="BH161" s="260" t="s">
        <v>311</v>
      </c>
      <c r="BI161" s="260" t="str">
        <f>BI151</f>
        <v>Other</v>
      </c>
      <c r="BJ161" s="260" t="s">
        <v>315</v>
      </c>
      <c r="BK161" s="260" t="s">
        <v>314</v>
      </c>
      <c r="BL161" s="260" t="str">
        <f>BL151</f>
        <v>Central</v>
      </c>
      <c r="BN161" s="260" t="s">
        <v>309</v>
      </c>
      <c r="BO161" s="260" t="s">
        <v>310</v>
      </c>
      <c r="BP161" s="260" t="s">
        <v>311</v>
      </c>
      <c r="BQ161" s="260" t="str">
        <f>BQ151</f>
        <v>Other</v>
      </c>
      <c r="BR161" s="260" t="s">
        <v>315</v>
      </c>
      <c r="BS161" s="260" t="s">
        <v>314</v>
      </c>
      <c r="BT161" s="260" t="str">
        <f>BT151</f>
        <v>System</v>
      </c>
      <c r="BV161" s="260" t="s">
        <v>320</v>
      </c>
      <c r="BW161" s="286" t="e">
        <f t="shared" si="362"/>
        <v>#VALUE!</v>
      </c>
    </row>
    <row r="162" spans="1:75" x14ac:dyDescent="0.25">
      <c r="A162" s="214" t="s">
        <v>262</v>
      </c>
      <c r="B162" s="257">
        <v>5000</v>
      </c>
      <c r="C162" s="257"/>
      <c r="D162" s="257"/>
      <c r="E162" s="257"/>
      <c r="F162" s="257"/>
      <c r="G162" s="257"/>
      <c r="H162" s="241">
        <f>SUM(B162:G162)</f>
        <v>5000</v>
      </c>
      <c r="J162" s="257">
        <v>5000</v>
      </c>
      <c r="K162" s="257"/>
      <c r="L162" s="257"/>
      <c r="M162" s="257"/>
      <c r="N162" s="257"/>
      <c r="O162" s="257"/>
      <c r="P162" s="241">
        <f>SUM(J162:O162)</f>
        <v>5000</v>
      </c>
      <c r="R162" s="257">
        <v>5000</v>
      </c>
      <c r="S162" s="257"/>
      <c r="T162" s="257"/>
      <c r="U162" s="257"/>
      <c r="V162" s="257"/>
      <c r="W162" s="257"/>
      <c r="X162" s="241">
        <f>SUM(R162:W162)</f>
        <v>5000</v>
      </c>
      <c r="Z162" s="257">
        <v>5000</v>
      </c>
      <c r="AA162" s="257"/>
      <c r="AB162" s="257"/>
      <c r="AC162" s="257"/>
      <c r="AD162" s="257"/>
      <c r="AE162" s="257"/>
      <c r="AF162" s="241">
        <f>SUM(Z162:AE162)</f>
        <v>5000</v>
      </c>
      <c r="AH162" s="257">
        <v>5000</v>
      </c>
      <c r="AI162" s="257"/>
      <c r="AJ162" s="257"/>
      <c r="AK162" s="257"/>
      <c r="AL162" s="257"/>
      <c r="AM162" s="257"/>
      <c r="AN162" s="241">
        <f>SUM(AH162:AM162)</f>
        <v>5000</v>
      </c>
      <c r="AP162" s="257">
        <v>0</v>
      </c>
      <c r="AQ162" s="257"/>
      <c r="AR162" s="257"/>
      <c r="AS162" s="257"/>
      <c r="AT162" s="257"/>
      <c r="AU162" s="257"/>
      <c r="AV162" s="241">
        <f>SUM(AP162:AU162)</f>
        <v>0</v>
      </c>
      <c r="AX162" s="257">
        <v>0</v>
      </c>
      <c r="AY162" s="257"/>
      <c r="AZ162" s="257"/>
      <c r="BA162" s="257"/>
      <c r="BB162" s="257"/>
      <c r="BC162" s="257"/>
      <c r="BD162" s="241">
        <f>SUM(AX162:BC162)</f>
        <v>0</v>
      </c>
      <c r="BF162" s="257"/>
      <c r="BG162" s="257"/>
      <c r="BH162" s="257"/>
      <c r="BI162" s="257"/>
      <c r="BJ162" s="257"/>
      <c r="BK162" s="257"/>
      <c r="BL162" s="241">
        <f>SUM(BF162:BK162)</f>
        <v>0</v>
      </c>
      <c r="BN162" s="241">
        <f>B162+J162+R162+Z162+AH162+AP162+AX162+BF162</f>
        <v>25000</v>
      </c>
      <c r="BO162" s="241">
        <f t="shared" ref="BO162:BS162" si="388">C162+K162+S162+AA162+AI162+AQ162+AY162+BG162</f>
        <v>0</v>
      </c>
      <c r="BP162" s="241">
        <f t="shared" si="388"/>
        <v>0</v>
      </c>
      <c r="BQ162" s="241">
        <f t="shared" si="388"/>
        <v>0</v>
      </c>
      <c r="BR162" s="241">
        <f t="shared" si="388"/>
        <v>0</v>
      </c>
      <c r="BS162" s="241">
        <f t="shared" si="388"/>
        <v>0</v>
      </c>
      <c r="BT162" s="241">
        <f>SUM(BN162:BS162)</f>
        <v>25000</v>
      </c>
      <c r="BV162" s="241">
        <v>25000</v>
      </c>
      <c r="BW162" s="286">
        <f t="shared" si="362"/>
        <v>0</v>
      </c>
    </row>
    <row r="163" spans="1:75" x14ac:dyDescent="0.25">
      <c r="A163" s="211" t="s">
        <v>264</v>
      </c>
      <c r="B163" s="244"/>
      <c r="C163" s="244"/>
      <c r="D163" s="244"/>
      <c r="E163" s="244"/>
      <c r="F163" s="244"/>
      <c r="G163" s="244"/>
      <c r="H163" s="241">
        <f t="shared" ref="H163:H170" si="389">SUM(B163:G163)</f>
        <v>0</v>
      </c>
      <c r="J163" s="244"/>
      <c r="K163" s="244"/>
      <c r="L163" s="244"/>
      <c r="M163" s="244"/>
      <c r="N163" s="244"/>
      <c r="O163" s="244"/>
      <c r="P163" s="241">
        <f t="shared" ref="P163:P170" si="390">SUM(J163:O163)</f>
        <v>0</v>
      </c>
      <c r="R163" s="242">
        <f>32697*1.04</f>
        <v>34004.880000000005</v>
      </c>
      <c r="S163" s="244"/>
      <c r="T163" s="244"/>
      <c r="U163" s="244"/>
      <c r="V163" s="244"/>
      <c r="W163" s="244"/>
      <c r="X163" s="241">
        <f t="shared" ref="X163:X170" si="391">SUM(R163:W163)</f>
        <v>34004.880000000005</v>
      </c>
      <c r="Z163" s="244"/>
      <c r="AA163" s="244"/>
      <c r="AB163" s="244"/>
      <c r="AC163" s="244"/>
      <c r="AD163" s="244"/>
      <c r="AE163" s="244"/>
      <c r="AF163" s="241">
        <f t="shared" ref="AF163:AF170" si="392">SUM(Z163:AE163)</f>
        <v>0</v>
      </c>
      <c r="AH163" s="244"/>
      <c r="AI163" s="244"/>
      <c r="AJ163" s="244"/>
      <c r="AK163" s="244"/>
      <c r="AL163" s="244"/>
      <c r="AM163" s="244"/>
      <c r="AN163" s="241">
        <f t="shared" ref="AN163:AN170" si="393">SUM(AH163:AM163)</f>
        <v>0</v>
      </c>
      <c r="AP163" s="244"/>
      <c r="AQ163" s="244"/>
      <c r="AR163" s="244"/>
      <c r="AS163" s="244"/>
      <c r="AT163" s="244"/>
      <c r="AU163" s="244"/>
      <c r="AV163" s="241">
        <f t="shared" ref="AV163:AV170" si="394">SUM(AP163:AU163)</f>
        <v>0</v>
      </c>
      <c r="AX163" s="244">
        <f>800*AX17</f>
        <v>112000</v>
      </c>
      <c r="AY163" s="244"/>
      <c r="AZ163" s="244"/>
      <c r="BA163" s="244"/>
      <c r="BB163" s="244"/>
      <c r="BC163" s="244"/>
      <c r="BD163" s="241">
        <f t="shared" ref="BD163:BD170" si="395">SUM(AX163:BC163)</f>
        <v>112000</v>
      </c>
      <c r="BF163" s="244"/>
      <c r="BG163" s="244"/>
      <c r="BH163" s="244"/>
      <c r="BI163" s="244"/>
      <c r="BJ163" s="244"/>
      <c r="BK163" s="244"/>
      <c r="BL163" s="241">
        <f t="shared" ref="BL163:BL170" si="396">SUM(BF163:BK163)</f>
        <v>0</v>
      </c>
      <c r="BN163" s="241">
        <f t="shared" ref="BN163:BN170" si="397">B163+J163+R163+Z163+AH163+AP163+AX163+BF163</f>
        <v>146004.88</v>
      </c>
      <c r="BO163" s="241">
        <f t="shared" ref="BO163:BO170" si="398">C163+K163+S163+AA163+AI163+AQ163+AY163+BG163</f>
        <v>0</v>
      </c>
      <c r="BP163" s="241">
        <f t="shared" ref="BP163:BP170" si="399">D163+L163+T163+AB163+AJ163+AR163+AZ163+BH163</f>
        <v>0</v>
      </c>
      <c r="BQ163" s="241">
        <f t="shared" ref="BQ163:BQ170" si="400">E163+M163+U163+AC163+AK163+AS163+BA163+BI163</f>
        <v>0</v>
      </c>
      <c r="BR163" s="241">
        <f t="shared" ref="BR163:BR170" si="401">F163+N163+V163+AD163+AL163+AT163+BB163+BJ163</f>
        <v>0</v>
      </c>
      <c r="BS163" s="241">
        <f t="shared" ref="BS163:BS170" si="402">G163+O163+W163+AE163+AM163+AU163+BC163+BK163</f>
        <v>0</v>
      </c>
      <c r="BT163" s="241">
        <f t="shared" ref="BT163:BT170" si="403">SUM(BN163:BS163)</f>
        <v>146004.88</v>
      </c>
      <c r="BV163" s="241">
        <v>146004.88</v>
      </c>
      <c r="BW163" s="286">
        <f t="shared" si="362"/>
        <v>0</v>
      </c>
    </row>
    <row r="164" spans="1:75" x14ac:dyDescent="0.25">
      <c r="A164" s="211" t="s">
        <v>268</v>
      </c>
      <c r="B164" s="244">
        <f>495*B17</f>
        <v>450450</v>
      </c>
      <c r="C164" s="244"/>
      <c r="D164" s="244"/>
      <c r="E164" s="244"/>
      <c r="F164" s="244"/>
      <c r="G164" s="244"/>
      <c r="H164" s="241">
        <f t="shared" si="389"/>
        <v>450450</v>
      </c>
      <c r="J164" s="244">
        <f>495*J17</f>
        <v>1230570</v>
      </c>
      <c r="K164" s="244"/>
      <c r="L164" s="244"/>
      <c r="M164" s="244"/>
      <c r="N164" s="244"/>
      <c r="O164" s="244"/>
      <c r="P164" s="241">
        <f t="shared" si="390"/>
        <v>1230570</v>
      </c>
      <c r="R164" s="244">
        <f>495*R17</f>
        <v>509850</v>
      </c>
      <c r="S164" s="244"/>
      <c r="T164" s="244"/>
      <c r="U164" s="244"/>
      <c r="V164" s="244"/>
      <c r="W164" s="244"/>
      <c r="X164" s="241">
        <f t="shared" si="391"/>
        <v>509850</v>
      </c>
      <c r="Z164" s="244">
        <f>495*Z17</f>
        <v>586080</v>
      </c>
      <c r="AA164" s="244"/>
      <c r="AB164" s="244"/>
      <c r="AC164" s="244"/>
      <c r="AD164" s="244"/>
      <c r="AE164" s="244"/>
      <c r="AF164" s="241">
        <f t="shared" si="392"/>
        <v>586080</v>
      </c>
      <c r="AH164" s="244">
        <f>495*AH17</f>
        <v>1195920</v>
      </c>
      <c r="AI164" s="244"/>
      <c r="AJ164" s="244"/>
      <c r="AK164" s="244"/>
      <c r="AL164" s="244"/>
      <c r="AM164" s="244"/>
      <c r="AN164" s="241">
        <f t="shared" si="393"/>
        <v>1195920</v>
      </c>
      <c r="AP164" s="244">
        <f>495*AP17</f>
        <v>183150</v>
      </c>
      <c r="AQ164" s="244"/>
      <c r="AR164" s="244"/>
      <c r="AS164" s="244"/>
      <c r="AT164" s="244"/>
      <c r="AU164" s="244"/>
      <c r="AV164" s="241">
        <f t="shared" si="394"/>
        <v>183150</v>
      </c>
      <c r="AX164" s="244">
        <f>495*AX17</f>
        <v>69300</v>
      </c>
      <c r="AY164" s="244"/>
      <c r="AZ164" s="244"/>
      <c r="BA164" s="244"/>
      <c r="BB164" s="244"/>
      <c r="BC164" s="244"/>
      <c r="BD164" s="241">
        <f t="shared" si="395"/>
        <v>69300</v>
      </c>
      <c r="BF164" s="244"/>
      <c r="BG164" s="244"/>
      <c r="BH164" s="244"/>
      <c r="BI164" s="244"/>
      <c r="BJ164" s="244"/>
      <c r="BK164" s="244"/>
      <c r="BL164" s="241">
        <f t="shared" si="396"/>
        <v>0</v>
      </c>
      <c r="BN164" s="241">
        <f t="shared" si="397"/>
        <v>4225320</v>
      </c>
      <c r="BO164" s="241">
        <f t="shared" si="398"/>
        <v>0</v>
      </c>
      <c r="BP164" s="241">
        <f t="shared" si="399"/>
        <v>0</v>
      </c>
      <c r="BQ164" s="241">
        <f t="shared" si="400"/>
        <v>0</v>
      </c>
      <c r="BR164" s="241">
        <f t="shared" si="401"/>
        <v>0</v>
      </c>
      <c r="BS164" s="241">
        <f t="shared" si="402"/>
        <v>0</v>
      </c>
      <c r="BT164" s="241">
        <f t="shared" si="403"/>
        <v>4225320</v>
      </c>
      <c r="BV164" s="241">
        <v>4230765</v>
      </c>
      <c r="BW164" s="286">
        <f t="shared" si="362"/>
        <v>-5445</v>
      </c>
    </row>
    <row r="165" spans="1:75" x14ac:dyDescent="0.25">
      <c r="A165" s="211" t="s">
        <v>269</v>
      </c>
      <c r="B165" s="242">
        <f>2500*12</f>
        <v>30000</v>
      </c>
      <c r="C165" s="244"/>
      <c r="D165" s="244"/>
      <c r="E165" s="244"/>
      <c r="F165" s="244"/>
      <c r="G165" s="244"/>
      <c r="H165" s="241">
        <f t="shared" si="389"/>
        <v>30000</v>
      </c>
      <c r="J165" s="242">
        <f>5700*12</f>
        <v>68400</v>
      </c>
      <c r="K165" s="244"/>
      <c r="L165" s="244"/>
      <c r="M165" s="244"/>
      <c r="N165" s="244"/>
      <c r="O165" s="244"/>
      <c r="P165" s="241">
        <f t="shared" si="390"/>
        <v>68400</v>
      </c>
      <c r="R165" s="242">
        <f>2600*12</f>
        <v>31200</v>
      </c>
      <c r="S165" s="244"/>
      <c r="T165" s="244"/>
      <c r="U165" s="244"/>
      <c r="V165" s="244"/>
      <c r="W165" s="244"/>
      <c r="X165" s="241">
        <f t="shared" si="391"/>
        <v>31200</v>
      </c>
      <c r="Z165" s="242">
        <f>3000*12</f>
        <v>36000</v>
      </c>
      <c r="AA165" s="244"/>
      <c r="AB165" s="244"/>
      <c r="AC165" s="244"/>
      <c r="AD165" s="244"/>
      <c r="AE165" s="244"/>
      <c r="AF165" s="241">
        <f t="shared" si="392"/>
        <v>36000</v>
      </c>
      <c r="AH165" s="242">
        <f>5700*12</f>
        <v>68400</v>
      </c>
      <c r="AI165" s="244"/>
      <c r="AJ165" s="244"/>
      <c r="AK165" s="244"/>
      <c r="AL165" s="244"/>
      <c r="AM165" s="244"/>
      <c r="AN165" s="241">
        <f t="shared" si="393"/>
        <v>68400</v>
      </c>
      <c r="AP165" s="242">
        <v>6000</v>
      </c>
      <c r="AQ165" s="244"/>
      <c r="AR165" s="244"/>
      <c r="AS165" s="244"/>
      <c r="AT165" s="244"/>
      <c r="AU165" s="244"/>
      <c r="AV165" s="241">
        <f t="shared" si="394"/>
        <v>6000</v>
      </c>
      <c r="AX165" s="280">
        <v>5500</v>
      </c>
      <c r="AY165" s="244"/>
      <c r="AZ165" s="244"/>
      <c r="BA165" s="244"/>
      <c r="BB165" s="244"/>
      <c r="BC165" s="244"/>
      <c r="BD165" s="241">
        <f t="shared" si="395"/>
        <v>5500</v>
      </c>
      <c r="BF165" s="242">
        <v>5000</v>
      </c>
      <c r="BG165" s="244"/>
      <c r="BH165" s="244"/>
      <c r="BI165" s="244"/>
      <c r="BJ165" s="244"/>
      <c r="BK165" s="244"/>
      <c r="BL165" s="241">
        <f t="shared" si="396"/>
        <v>5000</v>
      </c>
      <c r="BN165" s="241">
        <f t="shared" si="397"/>
        <v>250500</v>
      </c>
      <c r="BO165" s="241">
        <f t="shared" si="398"/>
        <v>0</v>
      </c>
      <c r="BP165" s="241">
        <f t="shared" si="399"/>
        <v>0</v>
      </c>
      <c r="BQ165" s="241">
        <f t="shared" si="400"/>
        <v>0</v>
      </c>
      <c r="BR165" s="241">
        <f t="shared" si="401"/>
        <v>0</v>
      </c>
      <c r="BS165" s="241">
        <f t="shared" si="402"/>
        <v>0</v>
      </c>
      <c r="BT165" s="241">
        <f t="shared" si="403"/>
        <v>250500</v>
      </c>
      <c r="BV165" s="241">
        <v>250500</v>
      </c>
      <c r="BW165" s="286">
        <f t="shared" si="362"/>
        <v>0</v>
      </c>
    </row>
    <row r="166" spans="1:75" x14ac:dyDescent="0.25">
      <c r="A166" s="211" t="s">
        <v>270</v>
      </c>
      <c r="B166" s="244">
        <v>26500</v>
      </c>
      <c r="C166" s="244"/>
      <c r="D166" s="244"/>
      <c r="E166" s="244"/>
      <c r="F166" s="244"/>
      <c r="G166" s="244"/>
      <c r="H166" s="241">
        <f t="shared" si="389"/>
        <v>26500</v>
      </c>
      <c r="J166" s="244">
        <v>26500</v>
      </c>
      <c r="K166" s="244"/>
      <c r="L166" s="244"/>
      <c r="M166" s="244"/>
      <c r="N166" s="244"/>
      <c r="O166" s="244"/>
      <c r="P166" s="241">
        <f t="shared" si="390"/>
        <v>26500</v>
      </c>
      <c r="R166" s="244">
        <v>26500</v>
      </c>
      <c r="S166" s="244"/>
      <c r="T166" s="244"/>
      <c r="U166" s="244"/>
      <c r="V166" s="244"/>
      <c r="W166" s="244"/>
      <c r="X166" s="241">
        <f t="shared" si="391"/>
        <v>26500</v>
      </c>
      <c r="Z166" s="244">
        <v>26500</v>
      </c>
      <c r="AA166" s="244"/>
      <c r="AB166" s="244"/>
      <c r="AC166" s="244"/>
      <c r="AD166" s="244"/>
      <c r="AE166" s="244"/>
      <c r="AF166" s="241">
        <f t="shared" si="392"/>
        <v>26500</v>
      </c>
      <c r="AH166" s="244">
        <v>26500</v>
      </c>
      <c r="AI166" s="244"/>
      <c r="AJ166" s="244"/>
      <c r="AK166" s="244"/>
      <c r="AL166" s="244"/>
      <c r="AM166" s="244"/>
      <c r="AN166" s="241">
        <f t="shared" si="393"/>
        <v>26500</v>
      </c>
      <c r="AP166" s="244">
        <v>5000</v>
      </c>
      <c r="AQ166" s="244"/>
      <c r="AR166" s="244"/>
      <c r="AS166" s="244"/>
      <c r="AT166" s="244"/>
      <c r="AU166" s="244"/>
      <c r="AV166" s="241">
        <f t="shared" si="394"/>
        <v>5000</v>
      </c>
      <c r="AX166" s="244">
        <v>26500</v>
      </c>
      <c r="AY166" s="244"/>
      <c r="AZ166" s="244"/>
      <c r="BA166" s="244"/>
      <c r="BB166" s="244"/>
      <c r="BC166" s="244"/>
      <c r="BD166" s="241">
        <f t="shared" si="395"/>
        <v>26500</v>
      </c>
      <c r="BF166" s="244"/>
      <c r="BG166" s="244"/>
      <c r="BH166" s="244"/>
      <c r="BI166" s="244"/>
      <c r="BJ166" s="244"/>
      <c r="BK166" s="244"/>
      <c r="BL166" s="241">
        <f t="shared" si="396"/>
        <v>0</v>
      </c>
      <c r="BN166" s="241">
        <f t="shared" si="397"/>
        <v>164000</v>
      </c>
      <c r="BO166" s="241">
        <f t="shared" si="398"/>
        <v>0</v>
      </c>
      <c r="BP166" s="241">
        <f t="shared" si="399"/>
        <v>0</v>
      </c>
      <c r="BQ166" s="241">
        <f t="shared" si="400"/>
        <v>0</v>
      </c>
      <c r="BR166" s="241">
        <f t="shared" si="401"/>
        <v>0</v>
      </c>
      <c r="BS166" s="241">
        <f t="shared" si="402"/>
        <v>0</v>
      </c>
      <c r="BT166" s="241">
        <f t="shared" si="403"/>
        <v>164000</v>
      </c>
      <c r="BV166" s="241">
        <v>164000</v>
      </c>
      <c r="BW166" s="286">
        <f t="shared" si="362"/>
        <v>0</v>
      </c>
    </row>
    <row r="167" spans="1:75" x14ac:dyDescent="0.25">
      <c r="A167" s="211" t="s">
        <v>271</v>
      </c>
      <c r="B167" s="244">
        <v>22500</v>
      </c>
      <c r="C167" s="244"/>
      <c r="D167" s="244"/>
      <c r="E167" s="244"/>
      <c r="F167" s="244"/>
      <c r="G167" s="244"/>
      <c r="H167" s="241">
        <f t="shared" si="389"/>
        <v>22500</v>
      </c>
      <c r="J167" s="244">
        <v>40000</v>
      </c>
      <c r="K167" s="244"/>
      <c r="L167" s="244"/>
      <c r="M167" s="244"/>
      <c r="N167" s="244"/>
      <c r="O167" s="244"/>
      <c r="P167" s="241">
        <f t="shared" si="390"/>
        <v>40000</v>
      </c>
      <c r="R167" s="244">
        <v>27500</v>
      </c>
      <c r="S167" s="244"/>
      <c r="T167" s="244"/>
      <c r="U167" s="244"/>
      <c r="V167" s="244"/>
      <c r="W167" s="244"/>
      <c r="X167" s="241">
        <f t="shared" si="391"/>
        <v>27500</v>
      </c>
      <c r="Z167" s="244">
        <v>30000</v>
      </c>
      <c r="AA167" s="244"/>
      <c r="AB167" s="244"/>
      <c r="AC167" s="244"/>
      <c r="AD167" s="244"/>
      <c r="AE167" s="244"/>
      <c r="AF167" s="241">
        <f t="shared" si="392"/>
        <v>30000</v>
      </c>
      <c r="AH167" s="244">
        <v>40000</v>
      </c>
      <c r="AI167" s="244"/>
      <c r="AJ167" s="244"/>
      <c r="AK167" s="244"/>
      <c r="AL167" s="244"/>
      <c r="AM167" s="244"/>
      <c r="AN167" s="241">
        <f t="shared" si="393"/>
        <v>40000</v>
      </c>
      <c r="AP167" s="244">
        <v>5000</v>
      </c>
      <c r="AQ167" s="244"/>
      <c r="AR167" s="244"/>
      <c r="AS167" s="244"/>
      <c r="AT167" s="244"/>
      <c r="AU167" s="244"/>
      <c r="AV167" s="241">
        <f t="shared" si="394"/>
        <v>5000</v>
      </c>
      <c r="AX167" s="244">
        <v>20000</v>
      </c>
      <c r="AY167" s="244"/>
      <c r="AZ167" s="244"/>
      <c r="BA167" s="244"/>
      <c r="BB167" s="244"/>
      <c r="BC167" s="244"/>
      <c r="BD167" s="241">
        <f t="shared" si="395"/>
        <v>20000</v>
      </c>
      <c r="BF167" s="244"/>
      <c r="BG167" s="244"/>
      <c r="BH167" s="244"/>
      <c r="BI167" s="244"/>
      <c r="BJ167" s="244"/>
      <c r="BK167" s="244"/>
      <c r="BL167" s="241">
        <f t="shared" si="396"/>
        <v>0</v>
      </c>
      <c r="BN167" s="241">
        <f t="shared" si="397"/>
        <v>185000</v>
      </c>
      <c r="BO167" s="241">
        <f t="shared" si="398"/>
        <v>0</v>
      </c>
      <c r="BP167" s="241">
        <f t="shared" si="399"/>
        <v>0</v>
      </c>
      <c r="BQ167" s="241">
        <f t="shared" si="400"/>
        <v>0</v>
      </c>
      <c r="BR167" s="241">
        <f t="shared" si="401"/>
        <v>0</v>
      </c>
      <c r="BS167" s="241">
        <f t="shared" si="402"/>
        <v>0</v>
      </c>
      <c r="BT167" s="241">
        <f t="shared" si="403"/>
        <v>185000</v>
      </c>
      <c r="BV167" s="241">
        <v>185000</v>
      </c>
      <c r="BW167" s="286">
        <f t="shared" si="362"/>
        <v>0</v>
      </c>
    </row>
    <row r="168" spans="1:75" x14ac:dyDescent="0.25">
      <c r="A168" s="211" t="s">
        <v>272</v>
      </c>
      <c r="B168" s="244">
        <f>(48*B17)+(65*12)</f>
        <v>44460</v>
      </c>
      <c r="C168" s="244"/>
      <c r="D168" s="244"/>
      <c r="E168" s="244"/>
      <c r="F168" s="244"/>
      <c r="G168" s="244"/>
      <c r="H168" s="241">
        <f t="shared" si="389"/>
        <v>44460</v>
      </c>
      <c r="J168" s="244">
        <f>(48*J17)+(65*12)</f>
        <v>120108</v>
      </c>
      <c r="K168" s="244"/>
      <c r="L168" s="244"/>
      <c r="M168" s="244"/>
      <c r="N168" s="244"/>
      <c r="O168" s="244"/>
      <c r="P168" s="241">
        <f t="shared" si="390"/>
        <v>120108</v>
      </c>
      <c r="R168" s="244">
        <f>(48*R17)+(60*12)</f>
        <v>50160</v>
      </c>
      <c r="S168" s="244"/>
      <c r="T168" s="244"/>
      <c r="U168" s="244"/>
      <c r="V168" s="244"/>
      <c r="W168" s="244"/>
      <c r="X168" s="241">
        <f t="shared" si="391"/>
        <v>50160</v>
      </c>
      <c r="Z168" s="244">
        <f>(48*Z17)+(65*12)</f>
        <v>57612</v>
      </c>
      <c r="AA168" s="244"/>
      <c r="AB168" s="244"/>
      <c r="AC168" s="244"/>
      <c r="AD168" s="244"/>
      <c r="AE168" s="244"/>
      <c r="AF168" s="241">
        <f t="shared" si="392"/>
        <v>57612</v>
      </c>
      <c r="AH168" s="244">
        <f>(48*AH17)+(65*12)</f>
        <v>116748</v>
      </c>
      <c r="AI168" s="244"/>
      <c r="AJ168" s="244"/>
      <c r="AK168" s="244"/>
      <c r="AL168" s="244"/>
      <c r="AM168" s="244"/>
      <c r="AN168" s="241">
        <f t="shared" si="393"/>
        <v>116748</v>
      </c>
      <c r="AP168" s="244">
        <f>(48*AP17)+(65*12)</f>
        <v>18540</v>
      </c>
      <c r="AQ168" s="244"/>
      <c r="AR168" s="244"/>
      <c r="AS168" s="244"/>
      <c r="AT168" s="244"/>
      <c r="AU168" s="244"/>
      <c r="AV168" s="241">
        <f t="shared" si="394"/>
        <v>18540</v>
      </c>
      <c r="AX168" s="244">
        <f>(48*AX17)+(65*12)</f>
        <v>7500</v>
      </c>
      <c r="AY168" s="244"/>
      <c r="AZ168" s="244"/>
      <c r="BA168" s="244"/>
      <c r="BB168" s="244"/>
      <c r="BC168" s="244"/>
      <c r="BD168" s="241">
        <f t="shared" si="395"/>
        <v>7500</v>
      </c>
      <c r="BF168" s="244"/>
      <c r="BG168" s="244"/>
      <c r="BH168" s="244"/>
      <c r="BI168" s="244"/>
      <c r="BJ168" s="244"/>
      <c r="BK168" s="244"/>
      <c r="BL168" s="241">
        <f t="shared" si="396"/>
        <v>0</v>
      </c>
      <c r="BN168" s="241">
        <f t="shared" si="397"/>
        <v>415128</v>
      </c>
      <c r="BO168" s="241">
        <f t="shared" si="398"/>
        <v>0</v>
      </c>
      <c r="BP168" s="241">
        <f t="shared" si="399"/>
        <v>0</v>
      </c>
      <c r="BQ168" s="241">
        <f t="shared" si="400"/>
        <v>0</v>
      </c>
      <c r="BR168" s="241">
        <f t="shared" si="401"/>
        <v>0</v>
      </c>
      <c r="BS168" s="241">
        <f t="shared" si="402"/>
        <v>0</v>
      </c>
      <c r="BT168" s="241">
        <f t="shared" si="403"/>
        <v>415128</v>
      </c>
      <c r="BV168" s="241">
        <v>415656</v>
      </c>
      <c r="BW168" s="286">
        <f t="shared" si="362"/>
        <v>-528</v>
      </c>
    </row>
    <row r="169" spans="1:75" x14ac:dyDescent="0.25">
      <c r="A169" s="211" t="s">
        <v>273</v>
      </c>
      <c r="B169" s="244">
        <v>20000</v>
      </c>
      <c r="C169" s="244"/>
      <c r="D169" s="244"/>
      <c r="E169" s="244"/>
      <c r="F169" s="244"/>
      <c r="G169" s="244"/>
      <c r="H169" s="241">
        <f t="shared" si="389"/>
        <v>20000</v>
      </c>
      <c r="J169" s="244">
        <v>30000</v>
      </c>
      <c r="K169" s="244"/>
      <c r="L169" s="244"/>
      <c r="M169" s="244"/>
      <c r="N169" s="244"/>
      <c r="O169" s="244"/>
      <c r="P169" s="241">
        <f t="shared" si="390"/>
        <v>30000</v>
      </c>
      <c r="R169" s="244">
        <v>25000</v>
      </c>
      <c r="S169" s="244"/>
      <c r="T169" s="244"/>
      <c r="U169" s="244"/>
      <c r="V169" s="244"/>
      <c r="W169" s="244"/>
      <c r="X169" s="241">
        <f t="shared" si="391"/>
        <v>25000</v>
      </c>
      <c r="Z169" s="244">
        <v>28000</v>
      </c>
      <c r="AA169" s="244"/>
      <c r="AB169" s="244"/>
      <c r="AC169" s="244"/>
      <c r="AD169" s="244"/>
      <c r="AE169" s="244"/>
      <c r="AF169" s="241">
        <f t="shared" si="392"/>
        <v>28000</v>
      </c>
      <c r="AH169" s="244">
        <v>40000</v>
      </c>
      <c r="AI169" s="244"/>
      <c r="AJ169" s="244"/>
      <c r="AK169" s="244"/>
      <c r="AL169" s="244"/>
      <c r="AM169" s="244"/>
      <c r="AN169" s="241">
        <f t="shared" si="393"/>
        <v>40000</v>
      </c>
      <c r="AP169" s="244">
        <v>8500</v>
      </c>
      <c r="AQ169" s="244"/>
      <c r="AR169" s="244"/>
      <c r="AS169" s="244"/>
      <c r="AT169" s="244"/>
      <c r="AU169" s="244"/>
      <c r="AV169" s="241">
        <f t="shared" si="394"/>
        <v>8500</v>
      </c>
      <c r="AX169" s="244">
        <v>15500</v>
      </c>
      <c r="AY169" s="244"/>
      <c r="AZ169" s="244"/>
      <c r="BA169" s="244"/>
      <c r="BB169" s="244"/>
      <c r="BC169" s="244"/>
      <c r="BD169" s="241">
        <f t="shared" si="395"/>
        <v>15500</v>
      </c>
      <c r="BF169" s="244"/>
      <c r="BG169" s="244"/>
      <c r="BH169" s="244"/>
      <c r="BI169" s="244"/>
      <c r="BJ169" s="244"/>
      <c r="BK169" s="244"/>
      <c r="BL169" s="241">
        <f t="shared" si="396"/>
        <v>0</v>
      </c>
      <c r="BN169" s="241">
        <f t="shared" si="397"/>
        <v>167000</v>
      </c>
      <c r="BO169" s="241">
        <f t="shared" si="398"/>
        <v>0</v>
      </c>
      <c r="BP169" s="241">
        <f t="shared" si="399"/>
        <v>0</v>
      </c>
      <c r="BQ169" s="241">
        <f t="shared" si="400"/>
        <v>0</v>
      </c>
      <c r="BR169" s="241">
        <f t="shared" si="401"/>
        <v>0</v>
      </c>
      <c r="BS169" s="241">
        <f t="shared" si="402"/>
        <v>0</v>
      </c>
      <c r="BT169" s="241">
        <f t="shared" si="403"/>
        <v>167000</v>
      </c>
      <c r="BV169" s="241">
        <v>167000</v>
      </c>
      <c r="BW169" s="286">
        <f t="shared" si="362"/>
        <v>0</v>
      </c>
    </row>
    <row r="170" spans="1:75" x14ac:dyDescent="0.25">
      <c r="A170" s="212" t="s">
        <v>274</v>
      </c>
      <c r="B170" s="245">
        <f>B68*0.0125</f>
        <v>107107</v>
      </c>
      <c r="C170" s="245"/>
      <c r="D170" s="245"/>
      <c r="E170" s="245"/>
      <c r="F170" s="245"/>
      <c r="G170" s="245"/>
      <c r="H170" s="241">
        <f t="shared" si="389"/>
        <v>107107</v>
      </c>
      <c r="J170" s="245">
        <f>J68*0.012</f>
        <v>280898.11200000002</v>
      </c>
      <c r="K170" s="245"/>
      <c r="L170" s="245"/>
      <c r="M170" s="245"/>
      <c r="N170" s="245"/>
      <c r="O170" s="245"/>
      <c r="P170" s="241">
        <f t="shared" si="390"/>
        <v>280898.11200000002</v>
      </c>
      <c r="R170" s="245">
        <f>R68*0.012</f>
        <v>116381.76000000001</v>
      </c>
      <c r="S170" s="245"/>
      <c r="T170" s="245"/>
      <c r="U170" s="245"/>
      <c r="V170" s="245"/>
      <c r="W170" s="245"/>
      <c r="X170" s="241">
        <f t="shared" si="391"/>
        <v>116381.76000000001</v>
      </c>
      <c r="Z170" s="245">
        <f>Z68*0.0125</f>
        <v>139356.80000000002</v>
      </c>
      <c r="AA170" s="245"/>
      <c r="AB170" s="245"/>
      <c r="AC170" s="245"/>
      <c r="AD170" s="245"/>
      <c r="AE170" s="245"/>
      <c r="AF170" s="241">
        <f t="shared" si="392"/>
        <v>139356.80000000002</v>
      </c>
      <c r="AH170" s="245">
        <f>AH68*0.012</f>
        <v>272988.67200000002</v>
      </c>
      <c r="AI170" s="245"/>
      <c r="AJ170" s="245"/>
      <c r="AK170" s="245"/>
      <c r="AL170" s="245"/>
      <c r="AM170" s="245"/>
      <c r="AN170" s="241">
        <f t="shared" si="393"/>
        <v>272988.67200000002</v>
      </c>
      <c r="AP170" s="245">
        <f>AP68*0.0125</f>
        <v>43549</v>
      </c>
      <c r="AQ170" s="245"/>
      <c r="AR170" s="245"/>
      <c r="AS170" s="245"/>
      <c r="AT170" s="245"/>
      <c r="AU170" s="245"/>
      <c r="AV170" s="241">
        <f t="shared" si="394"/>
        <v>43549</v>
      </c>
      <c r="AX170" s="245">
        <f>AX68*0.0125</f>
        <v>16478</v>
      </c>
      <c r="AY170" s="245"/>
      <c r="AZ170" s="245"/>
      <c r="BA170" s="245"/>
      <c r="BB170" s="245"/>
      <c r="BC170" s="245"/>
      <c r="BD170" s="241">
        <f t="shared" si="395"/>
        <v>16478</v>
      </c>
      <c r="BF170" s="245"/>
      <c r="BG170" s="245"/>
      <c r="BH170" s="245"/>
      <c r="BI170" s="245"/>
      <c r="BJ170" s="245"/>
      <c r="BK170" s="245"/>
      <c r="BL170" s="241">
        <f t="shared" si="396"/>
        <v>0</v>
      </c>
      <c r="BN170" s="241">
        <f t="shared" si="397"/>
        <v>976759.34400000004</v>
      </c>
      <c r="BO170" s="241">
        <f t="shared" si="398"/>
        <v>0</v>
      </c>
      <c r="BP170" s="241">
        <f t="shared" si="399"/>
        <v>0</v>
      </c>
      <c r="BQ170" s="241">
        <f t="shared" si="400"/>
        <v>0</v>
      </c>
      <c r="BR170" s="241">
        <f t="shared" si="401"/>
        <v>0</v>
      </c>
      <c r="BS170" s="241">
        <f t="shared" si="402"/>
        <v>0</v>
      </c>
      <c r="BT170" s="241">
        <f t="shared" si="403"/>
        <v>976759.34400000004</v>
      </c>
      <c r="BV170" s="241">
        <v>978082.29200000013</v>
      </c>
      <c r="BW170" s="286">
        <f t="shared" si="362"/>
        <v>-1322.9480000000913</v>
      </c>
    </row>
    <row r="171" spans="1:75" x14ac:dyDescent="0.25">
      <c r="A171" s="213"/>
      <c r="B171" s="258">
        <f>SUM(B162:B170)</f>
        <v>706017</v>
      </c>
      <c r="C171" s="258">
        <f t="shared" ref="C171:H171" si="404">SUM(C162:C170)</f>
        <v>0</v>
      </c>
      <c r="D171" s="258">
        <f t="shared" si="404"/>
        <v>0</v>
      </c>
      <c r="E171" s="258">
        <f t="shared" si="404"/>
        <v>0</v>
      </c>
      <c r="F171" s="258">
        <f t="shared" si="404"/>
        <v>0</v>
      </c>
      <c r="G171" s="258">
        <f t="shared" si="404"/>
        <v>0</v>
      </c>
      <c r="H171" s="258">
        <f t="shared" si="404"/>
        <v>706017</v>
      </c>
      <c r="J171" s="258">
        <f>SUM(J162:J170)</f>
        <v>1801476.112</v>
      </c>
      <c r="K171" s="258">
        <f t="shared" ref="K171:P171" si="405">SUM(K162:K170)</f>
        <v>0</v>
      </c>
      <c r="L171" s="258">
        <f t="shared" si="405"/>
        <v>0</v>
      </c>
      <c r="M171" s="258">
        <f t="shared" si="405"/>
        <v>0</v>
      </c>
      <c r="N171" s="258">
        <f t="shared" si="405"/>
        <v>0</v>
      </c>
      <c r="O171" s="258">
        <f t="shared" si="405"/>
        <v>0</v>
      </c>
      <c r="P171" s="258">
        <f t="shared" si="405"/>
        <v>1801476.112</v>
      </c>
      <c r="R171" s="258">
        <f>SUM(R162:R170)</f>
        <v>825596.64</v>
      </c>
      <c r="S171" s="258">
        <f t="shared" ref="S171:X171" si="406">SUM(S162:S170)</f>
        <v>0</v>
      </c>
      <c r="T171" s="258">
        <f t="shared" si="406"/>
        <v>0</v>
      </c>
      <c r="U171" s="258">
        <f t="shared" si="406"/>
        <v>0</v>
      </c>
      <c r="V171" s="258">
        <f t="shared" si="406"/>
        <v>0</v>
      </c>
      <c r="W171" s="258">
        <f t="shared" si="406"/>
        <v>0</v>
      </c>
      <c r="X171" s="258">
        <f t="shared" si="406"/>
        <v>825596.64</v>
      </c>
      <c r="Z171" s="258">
        <f>SUM(Z162:Z170)</f>
        <v>908548.8</v>
      </c>
      <c r="AA171" s="258">
        <f t="shared" ref="AA171:AF171" si="407">SUM(AA162:AA170)</f>
        <v>0</v>
      </c>
      <c r="AB171" s="258">
        <f t="shared" si="407"/>
        <v>0</v>
      </c>
      <c r="AC171" s="258">
        <f t="shared" si="407"/>
        <v>0</v>
      </c>
      <c r="AD171" s="258">
        <f t="shared" si="407"/>
        <v>0</v>
      </c>
      <c r="AE171" s="258">
        <f t="shared" si="407"/>
        <v>0</v>
      </c>
      <c r="AF171" s="258">
        <f t="shared" si="407"/>
        <v>908548.8</v>
      </c>
      <c r="AH171" s="258">
        <f>SUM(AH162:AH170)</f>
        <v>1765556.672</v>
      </c>
      <c r="AI171" s="258">
        <f t="shared" ref="AI171:AN171" si="408">SUM(AI162:AI170)</f>
        <v>0</v>
      </c>
      <c r="AJ171" s="258">
        <f t="shared" si="408"/>
        <v>0</v>
      </c>
      <c r="AK171" s="258">
        <f t="shared" si="408"/>
        <v>0</v>
      </c>
      <c r="AL171" s="258">
        <f t="shared" si="408"/>
        <v>0</v>
      </c>
      <c r="AM171" s="258">
        <f t="shared" si="408"/>
        <v>0</v>
      </c>
      <c r="AN171" s="258">
        <f t="shared" si="408"/>
        <v>1765556.672</v>
      </c>
      <c r="AP171" s="258">
        <f>SUM(AP162:AP170)</f>
        <v>269739</v>
      </c>
      <c r="AQ171" s="258">
        <f t="shared" ref="AQ171:AV171" si="409">SUM(AQ162:AQ170)</f>
        <v>0</v>
      </c>
      <c r="AR171" s="258">
        <f t="shared" si="409"/>
        <v>0</v>
      </c>
      <c r="AS171" s="258">
        <f t="shared" si="409"/>
        <v>0</v>
      </c>
      <c r="AT171" s="258">
        <f t="shared" si="409"/>
        <v>0</v>
      </c>
      <c r="AU171" s="258">
        <f t="shared" si="409"/>
        <v>0</v>
      </c>
      <c r="AV171" s="258">
        <f t="shared" si="409"/>
        <v>269739</v>
      </c>
      <c r="AX171" s="258">
        <f>SUM(AX162:AX170)</f>
        <v>272778</v>
      </c>
      <c r="AY171" s="258">
        <f t="shared" ref="AY171:BD171" si="410">SUM(AY162:AY170)</f>
        <v>0</v>
      </c>
      <c r="AZ171" s="258">
        <f t="shared" si="410"/>
        <v>0</v>
      </c>
      <c r="BA171" s="258">
        <f t="shared" si="410"/>
        <v>0</v>
      </c>
      <c r="BB171" s="258">
        <f t="shared" si="410"/>
        <v>0</v>
      </c>
      <c r="BC171" s="258">
        <f t="shared" si="410"/>
        <v>0</v>
      </c>
      <c r="BD171" s="258">
        <f t="shared" si="410"/>
        <v>272778</v>
      </c>
      <c r="BF171" s="258">
        <f>SUM(BF162:BF170)</f>
        <v>5000</v>
      </c>
      <c r="BG171" s="258">
        <f t="shared" ref="BG171:BL171" si="411">SUM(BG162:BG170)</f>
        <v>0</v>
      </c>
      <c r="BH171" s="258">
        <f t="shared" si="411"/>
        <v>0</v>
      </c>
      <c r="BI171" s="258">
        <f t="shared" si="411"/>
        <v>0</v>
      </c>
      <c r="BJ171" s="258">
        <f t="shared" si="411"/>
        <v>0</v>
      </c>
      <c r="BK171" s="258">
        <f t="shared" si="411"/>
        <v>0</v>
      </c>
      <c r="BL171" s="258">
        <f t="shared" si="411"/>
        <v>5000</v>
      </c>
      <c r="BN171" s="258">
        <f>SUM(BN162:BN170)</f>
        <v>6554712.2239999995</v>
      </c>
      <c r="BO171" s="258">
        <f t="shared" ref="BO171:BT171" si="412">SUM(BO162:BO170)</f>
        <v>0</v>
      </c>
      <c r="BP171" s="258">
        <f t="shared" si="412"/>
        <v>0</v>
      </c>
      <c r="BQ171" s="258">
        <f t="shared" si="412"/>
        <v>0</v>
      </c>
      <c r="BR171" s="258">
        <f t="shared" si="412"/>
        <v>0</v>
      </c>
      <c r="BS171" s="258">
        <f t="shared" si="412"/>
        <v>0</v>
      </c>
      <c r="BT171" s="258">
        <f t="shared" si="412"/>
        <v>6554712.2239999995</v>
      </c>
      <c r="BV171" s="258">
        <v>6562008.1720000003</v>
      </c>
      <c r="BW171" s="286">
        <f t="shared" si="362"/>
        <v>-7295.9480000007898</v>
      </c>
    </row>
    <row r="172" spans="1:75" x14ac:dyDescent="0.25">
      <c r="B172" s="259"/>
      <c r="C172" s="259"/>
      <c r="D172" s="259"/>
      <c r="E172" s="259"/>
      <c r="F172" s="259"/>
      <c r="G172" s="259"/>
      <c r="H172" s="259"/>
      <c r="J172" s="259"/>
      <c r="K172" s="259"/>
      <c r="L172" s="259"/>
      <c r="M172" s="259"/>
      <c r="N172" s="259"/>
      <c r="O172" s="259"/>
      <c r="P172" s="259"/>
      <c r="R172" s="259"/>
      <c r="S172" s="259"/>
      <c r="T172" s="259"/>
      <c r="U172" s="259"/>
      <c r="V172" s="259"/>
      <c r="W172" s="259"/>
      <c r="X172" s="259"/>
      <c r="Z172" s="259"/>
      <c r="AA172" s="259"/>
      <c r="AB172" s="259"/>
      <c r="AC172" s="259"/>
      <c r="AD172" s="259"/>
      <c r="AE172" s="259"/>
      <c r="AF172" s="259"/>
      <c r="AH172" s="259"/>
      <c r="AI172" s="259"/>
      <c r="AJ172" s="259"/>
      <c r="AK172" s="259"/>
      <c r="AL172" s="259"/>
      <c r="AM172" s="259"/>
      <c r="AN172" s="259"/>
      <c r="AP172" s="259"/>
      <c r="AQ172" s="259"/>
      <c r="AR172" s="259"/>
      <c r="AS172" s="259"/>
      <c r="AT172" s="259"/>
      <c r="AU172" s="259"/>
      <c r="AV172" s="259"/>
      <c r="AX172" s="259"/>
      <c r="AY172" s="259"/>
      <c r="AZ172" s="259"/>
      <c r="BA172" s="259"/>
      <c r="BB172" s="259"/>
      <c r="BC172" s="259"/>
      <c r="BD172" s="259"/>
      <c r="BF172" s="259"/>
      <c r="BG172" s="259"/>
      <c r="BH172" s="259"/>
      <c r="BI172" s="259"/>
      <c r="BJ172" s="259"/>
      <c r="BK172" s="259"/>
      <c r="BL172" s="259"/>
      <c r="BN172" s="259"/>
      <c r="BO172" s="259"/>
      <c r="BP172" s="259"/>
      <c r="BQ172" s="259"/>
      <c r="BR172" s="259"/>
      <c r="BS172" s="259"/>
      <c r="BT172" s="259"/>
      <c r="BV172" s="259"/>
      <c r="BW172" s="286">
        <f t="shared" si="362"/>
        <v>0</v>
      </c>
    </row>
    <row r="173" spans="1:75" x14ac:dyDescent="0.25">
      <c r="A173" s="208" t="s">
        <v>336</v>
      </c>
      <c r="B173" s="260" t="s">
        <v>309</v>
      </c>
      <c r="C173" s="260" t="s">
        <v>310</v>
      </c>
      <c r="D173" s="260" t="s">
        <v>311</v>
      </c>
      <c r="E173" s="260" t="str">
        <f>E161</f>
        <v>Other</v>
      </c>
      <c r="F173" s="260" t="s">
        <v>315</v>
      </c>
      <c r="G173" s="260" t="s">
        <v>314</v>
      </c>
      <c r="H173" s="260" t="s">
        <v>320</v>
      </c>
      <c r="J173" s="260" t="s">
        <v>309</v>
      </c>
      <c r="K173" s="260" t="s">
        <v>310</v>
      </c>
      <c r="L173" s="260" t="s">
        <v>311</v>
      </c>
      <c r="M173" s="260" t="str">
        <f>M161</f>
        <v>Other</v>
      </c>
      <c r="N173" s="260" t="s">
        <v>315</v>
      </c>
      <c r="O173" s="260" t="s">
        <v>314</v>
      </c>
      <c r="P173" s="260" t="str">
        <f>P161</f>
        <v>Cadence</v>
      </c>
      <c r="R173" s="260" t="s">
        <v>309</v>
      </c>
      <c r="S173" s="260" t="s">
        <v>310</v>
      </c>
      <c r="T173" s="260" t="s">
        <v>311</v>
      </c>
      <c r="U173" s="260" t="str">
        <f>U161</f>
        <v>Other</v>
      </c>
      <c r="V173" s="260" t="s">
        <v>315</v>
      </c>
      <c r="W173" s="260" t="s">
        <v>314</v>
      </c>
      <c r="X173" s="260" t="str">
        <f>X161</f>
        <v>St. Rose</v>
      </c>
      <c r="Z173" s="260" t="s">
        <v>309</v>
      </c>
      <c r="AA173" s="260" t="s">
        <v>310</v>
      </c>
      <c r="AB173" s="260" t="s">
        <v>311</v>
      </c>
      <c r="AC173" s="260" t="str">
        <f>AC161</f>
        <v>Other</v>
      </c>
      <c r="AD173" s="260" t="s">
        <v>315</v>
      </c>
      <c r="AE173" s="260" t="s">
        <v>314</v>
      </c>
      <c r="AF173" s="260" t="str">
        <f>AF161</f>
        <v>Inspirada</v>
      </c>
      <c r="AH173" s="260" t="s">
        <v>309</v>
      </c>
      <c r="AI173" s="260" t="s">
        <v>310</v>
      </c>
      <c r="AJ173" s="260" t="s">
        <v>311</v>
      </c>
      <c r="AK173" s="260" t="str">
        <f>AK161</f>
        <v>Other</v>
      </c>
      <c r="AL173" s="260" t="s">
        <v>315</v>
      </c>
      <c r="AM173" s="260" t="s">
        <v>314</v>
      </c>
      <c r="AN173" s="260" t="str">
        <f>AN161</f>
        <v>Sloan</v>
      </c>
      <c r="AP173" s="260" t="s">
        <v>309</v>
      </c>
      <c r="AQ173" s="260" t="s">
        <v>310</v>
      </c>
      <c r="AR173" s="260" t="s">
        <v>311</v>
      </c>
      <c r="AS173" s="260" t="str">
        <f>AS161</f>
        <v>Other</v>
      </c>
      <c r="AT173" s="260" t="s">
        <v>315</v>
      </c>
      <c r="AU173" s="260" t="s">
        <v>314</v>
      </c>
      <c r="AV173" s="260" t="str">
        <f>AV161</f>
        <v>Springs</v>
      </c>
      <c r="AX173" s="260" t="s">
        <v>309</v>
      </c>
      <c r="AY173" s="260" t="s">
        <v>310</v>
      </c>
      <c r="AZ173" s="260" t="s">
        <v>311</v>
      </c>
      <c r="BA173" s="260" t="str">
        <f>BA161</f>
        <v>Other</v>
      </c>
      <c r="BB173" s="260" t="s">
        <v>315</v>
      </c>
      <c r="BC173" s="260" t="s">
        <v>314</v>
      </c>
      <c r="BD173" s="260" t="str">
        <f>BD161</f>
        <v>Virtual</v>
      </c>
      <c r="BF173" s="260" t="s">
        <v>309</v>
      </c>
      <c r="BG173" s="260" t="s">
        <v>310</v>
      </c>
      <c r="BH173" s="260" t="s">
        <v>311</v>
      </c>
      <c r="BI173" s="260" t="str">
        <f>BI161</f>
        <v>Other</v>
      </c>
      <c r="BJ173" s="260" t="s">
        <v>315</v>
      </c>
      <c r="BK173" s="260" t="s">
        <v>314</v>
      </c>
      <c r="BL173" s="260" t="str">
        <f>BL161</f>
        <v>Central</v>
      </c>
      <c r="BN173" s="260" t="s">
        <v>309</v>
      </c>
      <c r="BO173" s="260" t="s">
        <v>310</v>
      </c>
      <c r="BP173" s="260" t="s">
        <v>311</v>
      </c>
      <c r="BQ173" s="260" t="str">
        <f>BQ161</f>
        <v>Other</v>
      </c>
      <c r="BR173" s="260" t="s">
        <v>315</v>
      </c>
      <c r="BS173" s="260" t="s">
        <v>314</v>
      </c>
      <c r="BT173" s="260" t="str">
        <f>BT161</f>
        <v>System</v>
      </c>
      <c r="BV173" s="260" t="s">
        <v>320</v>
      </c>
      <c r="BW173" s="286" t="e">
        <f t="shared" si="362"/>
        <v>#VALUE!</v>
      </c>
    </row>
    <row r="174" spans="1:75" x14ac:dyDescent="0.25">
      <c r="A174" s="214" t="s">
        <v>275</v>
      </c>
      <c r="B174" s="241">
        <f>(1400*12)+(250*12)</f>
        <v>19800</v>
      </c>
      <c r="C174" s="257"/>
      <c r="D174" s="257"/>
      <c r="E174" s="257"/>
      <c r="F174" s="257"/>
      <c r="G174" s="257"/>
      <c r="H174" s="241">
        <f>SUM(B174:G174)</f>
        <v>19800</v>
      </c>
      <c r="J174" s="241">
        <f>(550*12)+(1300*12)</f>
        <v>22200</v>
      </c>
      <c r="K174" s="257"/>
      <c r="L174" s="257"/>
      <c r="M174" s="257"/>
      <c r="N174" s="257"/>
      <c r="O174" s="257"/>
      <c r="P174" s="241">
        <f>SUM(J174:O174)</f>
        <v>22200</v>
      </c>
      <c r="R174" s="241">
        <f>(300*12)+(1000*12)</f>
        <v>15600</v>
      </c>
      <c r="S174" s="257"/>
      <c r="T174" s="257"/>
      <c r="U174" s="257"/>
      <c r="V174" s="257"/>
      <c r="W174" s="257"/>
      <c r="X174" s="241">
        <f>SUM(R174:W174)</f>
        <v>15600</v>
      </c>
      <c r="Z174" s="241">
        <f>(250*12)+(2200*12)</f>
        <v>29400</v>
      </c>
      <c r="AA174" s="257"/>
      <c r="AB174" s="257"/>
      <c r="AC174" s="257"/>
      <c r="AD174" s="257"/>
      <c r="AE174" s="257"/>
      <c r="AF174" s="241">
        <f>SUM(Z174:AE174)</f>
        <v>29400</v>
      </c>
      <c r="AH174" s="241">
        <f>(500*12)+(1200*12)</f>
        <v>20400</v>
      </c>
      <c r="AI174" s="257"/>
      <c r="AJ174" s="257"/>
      <c r="AK174" s="257"/>
      <c r="AL174" s="257"/>
      <c r="AM174" s="257"/>
      <c r="AN174" s="241">
        <f>SUM(AH174:AM174)</f>
        <v>20400</v>
      </c>
      <c r="AP174" s="241">
        <f>(100*12)+(800*12)</f>
        <v>10800</v>
      </c>
      <c r="AQ174" s="257"/>
      <c r="AR174" s="257"/>
      <c r="AS174" s="257"/>
      <c r="AT174" s="257"/>
      <c r="AU174" s="257"/>
      <c r="AV174" s="241">
        <f>SUM(AP174:AU174)</f>
        <v>10800</v>
      </c>
      <c r="AX174" s="241"/>
      <c r="AY174" s="257"/>
      <c r="AZ174" s="257"/>
      <c r="BA174" s="257"/>
      <c r="BB174" s="257"/>
      <c r="BC174" s="257"/>
      <c r="BD174" s="241">
        <f>SUM(AX174:BC174)</f>
        <v>0</v>
      </c>
      <c r="BF174" s="241"/>
      <c r="BG174" s="241"/>
      <c r="BH174" s="241"/>
      <c r="BI174" s="241"/>
      <c r="BJ174" s="241"/>
      <c r="BK174" s="241"/>
      <c r="BL174" s="241">
        <f>SUM(BF174:BK174)</f>
        <v>0</v>
      </c>
      <c r="BN174" s="241">
        <f>B174+J174+R174+Z174+AH174+AP174+AX174+BF174</f>
        <v>118200</v>
      </c>
      <c r="BO174" s="241">
        <f t="shared" ref="BO174:BS174" si="413">C174+K174+S174+AA174+AI174+AQ174+AY174+BG174</f>
        <v>0</v>
      </c>
      <c r="BP174" s="241">
        <f t="shared" si="413"/>
        <v>0</v>
      </c>
      <c r="BQ174" s="241">
        <f t="shared" si="413"/>
        <v>0</v>
      </c>
      <c r="BR174" s="241">
        <f t="shared" si="413"/>
        <v>0</v>
      </c>
      <c r="BS174" s="241">
        <f t="shared" si="413"/>
        <v>0</v>
      </c>
      <c r="BT174" s="241">
        <f>SUM(BN174:BS174)</f>
        <v>118200</v>
      </c>
      <c r="BV174" s="241">
        <v>118200</v>
      </c>
      <c r="BW174" s="286">
        <f t="shared" si="362"/>
        <v>0</v>
      </c>
    </row>
    <row r="175" spans="1:75" x14ac:dyDescent="0.25">
      <c r="A175" s="211" t="s">
        <v>276</v>
      </c>
      <c r="B175" s="241">
        <v>1000</v>
      </c>
      <c r="C175" s="244"/>
      <c r="D175" s="244"/>
      <c r="E175" s="244"/>
      <c r="F175" s="244"/>
      <c r="G175" s="244"/>
      <c r="H175" s="241">
        <f t="shared" ref="H175:H192" si="414">SUM(B175:G175)</f>
        <v>1000</v>
      </c>
      <c r="J175" s="241">
        <v>2000</v>
      </c>
      <c r="K175" s="244"/>
      <c r="L175" s="244"/>
      <c r="M175" s="244"/>
      <c r="N175" s="244"/>
      <c r="O175" s="244"/>
      <c r="P175" s="241">
        <f t="shared" ref="P175:P192" si="415">SUM(J175:O175)</f>
        <v>2000</v>
      </c>
      <c r="R175" s="241">
        <v>1250</v>
      </c>
      <c r="S175" s="244"/>
      <c r="T175" s="244"/>
      <c r="U175" s="244"/>
      <c r="V175" s="244"/>
      <c r="W175" s="244"/>
      <c r="X175" s="241">
        <f t="shared" ref="X175:X192" si="416">SUM(R175:W175)</f>
        <v>1250</v>
      </c>
      <c r="Z175" s="241">
        <v>1250</v>
      </c>
      <c r="AA175" s="244"/>
      <c r="AB175" s="244"/>
      <c r="AC175" s="244"/>
      <c r="AD175" s="244"/>
      <c r="AE175" s="244"/>
      <c r="AF175" s="241">
        <f t="shared" ref="AF175:AF192" si="417">SUM(Z175:AE175)</f>
        <v>1250</v>
      </c>
      <c r="AH175" s="241">
        <v>2000</v>
      </c>
      <c r="AI175" s="244"/>
      <c r="AJ175" s="244"/>
      <c r="AK175" s="244"/>
      <c r="AL175" s="244"/>
      <c r="AM175" s="244"/>
      <c r="AN175" s="241">
        <f t="shared" ref="AN175:AN192" si="418">SUM(AH175:AM175)</f>
        <v>2000</v>
      </c>
      <c r="AP175" s="241">
        <v>1000</v>
      </c>
      <c r="AQ175" s="244"/>
      <c r="AR175" s="244"/>
      <c r="AS175" s="244"/>
      <c r="AT175" s="244"/>
      <c r="AU175" s="244"/>
      <c r="AV175" s="241">
        <f t="shared" ref="AV175:AV192" si="419">SUM(AP175:AU175)</f>
        <v>1000</v>
      </c>
      <c r="AX175" s="241">
        <v>2000</v>
      </c>
      <c r="AY175" s="244"/>
      <c r="AZ175" s="244"/>
      <c r="BA175" s="244"/>
      <c r="BB175" s="244"/>
      <c r="BC175" s="244"/>
      <c r="BD175" s="241">
        <f t="shared" ref="BD175:BD192" si="420">SUM(AX175:BC175)</f>
        <v>2000</v>
      </c>
      <c r="BF175" s="241"/>
      <c r="BG175" s="242"/>
      <c r="BH175" s="242"/>
      <c r="BI175" s="242"/>
      <c r="BJ175" s="242"/>
      <c r="BK175" s="242"/>
      <c r="BL175" s="241">
        <f t="shared" ref="BL175:BL192" si="421">SUM(BF175:BK175)</f>
        <v>0</v>
      </c>
      <c r="BN175" s="241">
        <f t="shared" ref="BN175:BN193" si="422">B175+J175+R175+Z175+AH175+AP175+AX175+BF175</f>
        <v>10500</v>
      </c>
      <c r="BO175" s="241">
        <f t="shared" ref="BO175:BO193" si="423">C175+K175+S175+AA175+AI175+AQ175+AY175+BG175</f>
        <v>0</v>
      </c>
      <c r="BP175" s="241">
        <f t="shared" ref="BP175:BP193" si="424">D175+L175+T175+AB175+AJ175+AR175+AZ175+BH175</f>
        <v>0</v>
      </c>
      <c r="BQ175" s="241">
        <f t="shared" ref="BQ175:BQ193" si="425">E175+M175+U175+AC175+AK175+AS175+BA175+BI175</f>
        <v>0</v>
      </c>
      <c r="BR175" s="241">
        <f t="shared" ref="BR175:BR193" si="426">F175+N175+V175+AD175+AL175+AT175+BB175+BJ175</f>
        <v>0</v>
      </c>
      <c r="BS175" s="241">
        <f t="shared" ref="BS175:BS193" si="427">G175+O175+W175+AE175+AM175+AU175+BC175+BK175</f>
        <v>0</v>
      </c>
      <c r="BT175" s="241">
        <f t="shared" ref="BT175:BT192" si="428">SUM(BN175:BS175)</f>
        <v>10500</v>
      </c>
      <c r="BV175" s="241">
        <v>10500</v>
      </c>
      <c r="BW175" s="286">
        <f t="shared" si="362"/>
        <v>0</v>
      </c>
    </row>
    <row r="176" spans="1:75" x14ac:dyDescent="0.25">
      <c r="A176" s="211" t="s">
        <v>277</v>
      </c>
      <c r="B176" s="241">
        <v>5000</v>
      </c>
      <c r="C176" s="244"/>
      <c r="D176" s="244"/>
      <c r="E176" s="244"/>
      <c r="F176" s="244"/>
      <c r="G176" s="244"/>
      <c r="H176" s="241">
        <f t="shared" si="414"/>
        <v>5000</v>
      </c>
      <c r="J176" s="241">
        <v>5000</v>
      </c>
      <c r="K176" s="244"/>
      <c r="L176" s="244"/>
      <c r="M176" s="244"/>
      <c r="N176" s="244"/>
      <c r="O176" s="244"/>
      <c r="P176" s="241">
        <f t="shared" si="415"/>
        <v>5000</v>
      </c>
      <c r="R176" s="241">
        <v>5000</v>
      </c>
      <c r="S176" s="244"/>
      <c r="T176" s="244"/>
      <c r="U176" s="244"/>
      <c r="V176" s="244"/>
      <c r="W176" s="244"/>
      <c r="X176" s="241">
        <f t="shared" si="416"/>
        <v>5000</v>
      </c>
      <c r="Z176" s="241">
        <v>5000</v>
      </c>
      <c r="AA176" s="244"/>
      <c r="AB176" s="244"/>
      <c r="AC176" s="244"/>
      <c r="AD176" s="244"/>
      <c r="AE176" s="244"/>
      <c r="AF176" s="241">
        <f t="shared" si="417"/>
        <v>5000</v>
      </c>
      <c r="AH176" s="241">
        <v>5000</v>
      </c>
      <c r="AI176" s="244"/>
      <c r="AJ176" s="244"/>
      <c r="AK176" s="244"/>
      <c r="AL176" s="244"/>
      <c r="AM176" s="244"/>
      <c r="AN176" s="241">
        <f t="shared" si="418"/>
        <v>5000</v>
      </c>
      <c r="AP176" s="241">
        <v>5000</v>
      </c>
      <c r="AQ176" s="244"/>
      <c r="AR176" s="244"/>
      <c r="AS176" s="244"/>
      <c r="AT176" s="244"/>
      <c r="AU176" s="244"/>
      <c r="AV176" s="241">
        <f t="shared" si="419"/>
        <v>5000</v>
      </c>
      <c r="AX176" s="241">
        <v>5000</v>
      </c>
      <c r="AY176" s="244"/>
      <c r="AZ176" s="244"/>
      <c r="BA176" s="244"/>
      <c r="BB176" s="244"/>
      <c r="BC176" s="244"/>
      <c r="BD176" s="241">
        <f t="shared" si="420"/>
        <v>5000</v>
      </c>
      <c r="BF176" s="241"/>
      <c r="BG176" s="242"/>
      <c r="BH176" s="242"/>
      <c r="BI176" s="242"/>
      <c r="BJ176" s="242"/>
      <c r="BK176" s="242"/>
      <c r="BL176" s="241">
        <f t="shared" si="421"/>
        <v>0</v>
      </c>
      <c r="BN176" s="241">
        <f t="shared" si="422"/>
        <v>35000</v>
      </c>
      <c r="BO176" s="241">
        <f t="shared" si="423"/>
        <v>0</v>
      </c>
      <c r="BP176" s="241">
        <f t="shared" si="424"/>
        <v>0</v>
      </c>
      <c r="BQ176" s="241">
        <f t="shared" si="425"/>
        <v>0</v>
      </c>
      <c r="BR176" s="241">
        <f t="shared" si="426"/>
        <v>0</v>
      </c>
      <c r="BS176" s="241">
        <f t="shared" si="427"/>
        <v>0</v>
      </c>
      <c r="BT176" s="241">
        <f t="shared" si="428"/>
        <v>35000</v>
      </c>
      <c r="BV176" s="241">
        <v>35000</v>
      </c>
      <c r="BW176" s="286">
        <f t="shared" si="362"/>
        <v>0</v>
      </c>
    </row>
    <row r="177" spans="1:75" x14ac:dyDescent="0.25">
      <c r="A177" s="211" t="s">
        <v>278</v>
      </c>
      <c r="B177" s="241">
        <v>45000</v>
      </c>
      <c r="C177" s="244"/>
      <c r="D177" s="244"/>
      <c r="E177" s="244"/>
      <c r="F177" s="244"/>
      <c r="G177" s="244"/>
      <c r="H177" s="241">
        <f t="shared" si="414"/>
        <v>45000</v>
      </c>
      <c r="J177" s="241">
        <v>100000</v>
      </c>
      <c r="K177" s="244"/>
      <c r="L177" s="244"/>
      <c r="M177" s="244"/>
      <c r="N177" s="244"/>
      <c r="O177" s="244"/>
      <c r="P177" s="241">
        <f t="shared" si="415"/>
        <v>100000</v>
      </c>
      <c r="R177" s="241">
        <v>50000</v>
      </c>
      <c r="S177" s="244"/>
      <c r="T177" s="244"/>
      <c r="U177" s="244"/>
      <c r="V177" s="244"/>
      <c r="W177" s="244"/>
      <c r="X177" s="241">
        <f t="shared" si="416"/>
        <v>50000</v>
      </c>
      <c r="Z177" s="241">
        <v>60000</v>
      </c>
      <c r="AA177" s="244"/>
      <c r="AB177" s="244"/>
      <c r="AC177" s="244"/>
      <c r="AD177" s="244"/>
      <c r="AE177" s="244"/>
      <c r="AF177" s="241">
        <f t="shared" si="417"/>
        <v>60000</v>
      </c>
      <c r="AH177" s="241">
        <v>100000</v>
      </c>
      <c r="AI177" s="244"/>
      <c r="AJ177" s="244"/>
      <c r="AK177" s="244"/>
      <c r="AL177" s="244"/>
      <c r="AM177" s="244"/>
      <c r="AN177" s="241">
        <f t="shared" si="418"/>
        <v>100000</v>
      </c>
      <c r="AP177" s="241">
        <v>10000</v>
      </c>
      <c r="AQ177" s="244"/>
      <c r="AR177" s="244"/>
      <c r="AS177" s="244"/>
      <c r="AT177" s="244"/>
      <c r="AU177" s="244"/>
      <c r="AV177" s="241">
        <f t="shared" si="419"/>
        <v>10000</v>
      </c>
      <c r="AX177" s="241">
        <v>7500</v>
      </c>
      <c r="AY177" s="244"/>
      <c r="AZ177" s="244"/>
      <c r="BA177" s="244"/>
      <c r="BB177" s="244"/>
      <c r="BC177" s="244"/>
      <c r="BD177" s="241">
        <f t="shared" si="420"/>
        <v>7500</v>
      </c>
      <c r="BF177" s="241"/>
      <c r="BG177" s="242"/>
      <c r="BH177" s="242"/>
      <c r="BI177" s="242"/>
      <c r="BJ177" s="242"/>
      <c r="BK177" s="242"/>
      <c r="BL177" s="241">
        <f t="shared" si="421"/>
        <v>0</v>
      </c>
      <c r="BN177" s="241">
        <f t="shared" si="422"/>
        <v>372500</v>
      </c>
      <c r="BO177" s="241">
        <f t="shared" si="423"/>
        <v>0</v>
      </c>
      <c r="BP177" s="241">
        <f t="shared" si="424"/>
        <v>0</v>
      </c>
      <c r="BQ177" s="241">
        <f t="shared" si="425"/>
        <v>0</v>
      </c>
      <c r="BR177" s="241">
        <f t="shared" si="426"/>
        <v>0</v>
      </c>
      <c r="BS177" s="241">
        <f t="shared" si="427"/>
        <v>0</v>
      </c>
      <c r="BT177" s="241">
        <f t="shared" si="428"/>
        <v>372500</v>
      </c>
      <c r="BV177" s="241">
        <v>372500</v>
      </c>
      <c r="BW177" s="286">
        <f t="shared" si="362"/>
        <v>0</v>
      </c>
    </row>
    <row r="178" spans="1:75" x14ac:dyDescent="0.25">
      <c r="A178" s="211" t="s">
        <v>279</v>
      </c>
      <c r="B178" s="241">
        <f>(2+2.5+0.4+1.95)*B17</f>
        <v>6233.5000000000009</v>
      </c>
      <c r="C178" s="244"/>
      <c r="D178" s="244"/>
      <c r="E178" s="244"/>
      <c r="F178" s="244"/>
      <c r="G178" s="244"/>
      <c r="H178" s="241">
        <f t="shared" si="414"/>
        <v>6233.5000000000009</v>
      </c>
      <c r="J178" s="241">
        <f>(2+2.5+0.4+1.95)*J17</f>
        <v>17029.100000000002</v>
      </c>
      <c r="K178" s="244"/>
      <c r="L178" s="244"/>
      <c r="M178" s="244"/>
      <c r="N178" s="244"/>
      <c r="O178" s="244"/>
      <c r="P178" s="241">
        <f t="shared" si="415"/>
        <v>17029.100000000002</v>
      </c>
      <c r="R178" s="241">
        <f>(2+2.5+0.4+1.95)*R17</f>
        <v>7055.5000000000009</v>
      </c>
      <c r="S178" s="244"/>
      <c r="T178" s="244"/>
      <c r="U178" s="244"/>
      <c r="V178" s="244"/>
      <c r="W178" s="244"/>
      <c r="X178" s="241">
        <f t="shared" si="416"/>
        <v>7055.5000000000009</v>
      </c>
      <c r="Z178" s="241">
        <f>(2+2.5+0.4+1.95)*Z17</f>
        <v>8110.4000000000005</v>
      </c>
      <c r="AA178" s="244"/>
      <c r="AB178" s="244"/>
      <c r="AC178" s="244"/>
      <c r="AD178" s="244"/>
      <c r="AE178" s="244"/>
      <c r="AF178" s="241">
        <f t="shared" si="417"/>
        <v>8110.4000000000005</v>
      </c>
      <c r="AH178" s="241">
        <f>(2+2.5+0.4+1.95)*AH17</f>
        <v>16549.600000000002</v>
      </c>
      <c r="AI178" s="244"/>
      <c r="AJ178" s="244"/>
      <c r="AK178" s="244"/>
      <c r="AL178" s="244"/>
      <c r="AM178" s="244"/>
      <c r="AN178" s="241">
        <f t="shared" si="418"/>
        <v>16549.600000000002</v>
      </c>
      <c r="AP178" s="241">
        <f>(2+2.5+0.4+1.95)*AP17</f>
        <v>2534.5</v>
      </c>
      <c r="AQ178" s="244"/>
      <c r="AR178" s="244"/>
      <c r="AS178" s="244"/>
      <c r="AT178" s="244"/>
      <c r="AU178" s="244"/>
      <c r="AV178" s="241">
        <f t="shared" si="419"/>
        <v>2534.5</v>
      </c>
      <c r="AX178" s="241">
        <f>(2+2.5+0.4+1.95)*AX17</f>
        <v>959.00000000000011</v>
      </c>
      <c r="AY178" s="244"/>
      <c r="AZ178" s="244"/>
      <c r="BA178" s="244"/>
      <c r="BB178" s="244"/>
      <c r="BC178" s="244"/>
      <c r="BD178" s="241">
        <f t="shared" si="420"/>
        <v>959.00000000000011</v>
      </c>
      <c r="BF178" s="241"/>
      <c r="BG178" s="242"/>
      <c r="BH178" s="242"/>
      <c r="BI178" s="242"/>
      <c r="BJ178" s="242"/>
      <c r="BK178" s="242"/>
      <c r="BL178" s="241">
        <f t="shared" si="421"/>
        <v>0</v>
      </c>
      <c r="BN178" s="241">
        <f t="shared" si="422"/>
        <v>58471.600000000006</v>
      </c>
      <c r="BO178" s="241">
        <f t="shared" si="423"/>
        <v>0</v>
      </c>
      <c r="BP178" s="241">
        <f t="shared" si="424"/>
        <v>0</v>
      </c>
      <c r="BQ178" s="241">
        <f t="shared" si="425"/>
        <v>0</v>
      </c>
      <c r="BR178" s="241">
        <f t="shared" si="426"/>
        <v>0</v>
      </c>
      <c r="BS178" s="241">
        <f t="shared" si="427"/>
        <v>0</v>
      </c>
      <c r="BT178" s="241">
        <f t="shared" si="428"/>
        <v>58471.600000000006</v>
      </c>
      <c r="BV178" s="241">
        <v>58546.950000000004</v>
      </c>
      <c r="BW178" s="286">
        <f t="shared" si="362"/>
        <v>-75.349999999998545</v>
      </c>
    </row>
    <row r="179" spans="1:75" x14ac:dyDescent="0.25">
      <c r="A179" s="211" t="s">
        <v>280</v>
      </c>
      <c r="B179" s="241">
        <v>71000</v>
      </c>
      <c r="C179" s="244"/>
      <c r="D179" s="244"/>
      <c r="E179" s="244"/>
      <c r="F179" s="244"/>
      <c r="G179" s="244"/>
      <c r="H179" s="241">
        <f t="shared" si="414"/>
        <v>71000</v>
      </c>
      <c r="J179" s="241">
        <v>194000</v>
      </c>
      <c r="K179" s="244"/>
      <c r="L179" s="244"/>
      <c r="M179" s="244"/>
      <c r="N179" s="244"/>
      <c r="O179" s="244"/>
      <c r="P179" s="241">
        <f t="shared" si="415"/>
        <v>194000</v>
      </c>
      <c r="R179" s="241">
        <v>80500</v>
      </c>
      <c r="S179" s="244"/>
      <c r="T179" s="244"/>
      <c r="U179" s="244"/>
      <c r="V179" s="244"/>
      <c r="W179" s="244"/>
      <c r="X179" s="241">
        <f t="shared" si="416"/>
        <v>80500</v>
      </c>
      <c r="Z179" s="241">
        <v>92500</v>
      </c>
      <c r="AA179" s="244"/>
      <c r="AB179" s="244"/>
      <c r="AC179" s="244"/>
      <c r="AD179" s="244"/>
      <c r="AE179" s="244"/>
      <c r="AF179" s="241">
        <f t="shared" si="417"/>
        <v>92500</v>
      </c>
      <c r="AH179" s="241">
        <v>188500</v>
      </c>
      <c r="AI179" s="244"/>
      <c r="AJ179" s="244"/>
      <c r="AK179" s="244"/>
      <c r="AL179" s="244"/>
      <c r="AM179" s="244"/>
      <c r="AN179" s="241">
        <f t="shared" si="418"/>
        <v>188500</v>
      </c>
      <c r="AP179" s="241">
        <v>29000</v>
      </c>
      <c r="AQ179" s="244"/>
      <c r="AR179" s="244"/>
      <c r="AS179" s="244"/>
      <c r="AT179" s="244"/>
      <c r="AU179" s="244"/>
      <c r="AV179" s="241">
        <f t="shared" si="419"/>
        <v>29000</v>
      </c>
      <c r="AX179" s="241">
        <v>11000</v>
      </c>
      <c r="AY179" s="244"/>
      <c r="AZ179" s="244"/>
      <c r="BA179" s="244"/>
      <c r="BB179" s="244"/>
      <c r="BC179" s="244"/>
      <c r="BD179" s="241">
        <f t="shared" si="420"/>
        <v>11000</v>
      </c>
      <c r="BF179" s="241"/>
      <c r="BG179" s="242"/>
      <c r="BH179" s="242"/>
      <c r="BI179" s="242"/>
      <c r="BJ179" s="242"/>
      <c r="BK179" s="242"/>
      <c r="BL179" s="241">
        <f t="shared" si="421"/>
        <v>0</v>
      </c>
      <c r="BN179" s="241">
        <f t="shared" si="422"/>
        <v>666500</v>
      </c>
      <c r="BO179" s="241">
        <f t="shared" si="423"/>
        <v>0</v>
      </c>
      <c r="BP179" s="241">
        <f t="shared" si="424"/>
        <v>0</v>
      </c>
      <c r="BQ179" s="241">
        <f t="shared" si="425"/>
        <v>0</v>
      </c>
      <c r="BR179" s="241">
        <f t="shared" si="426"/>
        <v>0</v>
      </c>
      <c r="BS179" s="241">
        <f t="shared" si="427"/>
        <v>0</v>
      </c>
      <c r="BT179" s="241">
        <f t="shared" si="428"/>
        <v>666500</v>
      </c>
      <c r="BV179" s="241">
        <v>683700</v>
      </c>
      <c r="BW179" s="286">
        <f t="shared" si="362"/>
        <v>-17200</v>
      </c>
    </row>
    <row r="180" spans="1:75" x14ac:dyDescent="0.25">
      <c r="A180" s="211" t="s">
        <v>281</v>
      </c>
      <c r="B180" s="241">
        <v>0</v>
      </c>
      <c r="C180" s="244"/>
      <c r="D180" s="242">
        <f>125*2.2*180</f>
        <v>49500</v>
      </c>
      <c r="E180" s="244"/>
      <c r="F180" s="244"/>
      <c r="G180" s="244"/>
      <c r="H180" s="241">
        <f t="shared" si="414"/>
        <v>49500</v>
      </c>
      <c r="J180" s="241">
        <v>0</v>
      </c>
      <c r="K180" s="244"/>
      <c r="L180" s="242">
        <f>200*2.2*180</f>
        <v>79200.000000000015</v>
      </c>
      <c r="M180" s="244"/>
      <c r="N180" s="244"/>
      <c r="O180" s="244"/>
      <c r="P180" s="241">
        <f t="shared" si="415"/>
        <v>79200.000000000015</v>
      </c>
      <c r="R180" s="241">
        <v>0</v>
      </c>
      <c r="S180" s="244"/>
      <c r="T180" s="242">
        <v>0</v>
      </c>
      <c r="U180" s="244"/>
      <c r="V180" s="244"/>
      <c r="W180" s="244"/>
      <c r="X180" s="241">
        <f t="shared" si="416"/>
        <v>0</v>
      </c>
      <c r="Z180" s="241">
        <v>0</v>
      </c>
      <c r="AA180" s="244"/>
      <c r="AB180" s="244"/>
      <c r="AC180" s="244"/>
      <c r="AD180" s="244"/>
      <c r="AE180" s="244"/>
      <c r="AF180" s="241">
        <f t="shared" si="417"/>
        <v>0</v>
      </c>
      <c r="AH180" s="241">
        <v>0</v>
      </c>
      <c r="AI180" s="244"/>
      <c r="AJ180" s="242">
        <v>0</v>
      </c>
      <c r="AK180" s="244"/>
      <c r="AL180" s="244"/>
      <c r="AM180" s="244"/>
      <c r="AN180" s="241">
        <f t="shared" si="418"/>
        <v>0</v>
      </c>
      <c r="AP180" s="241">
        <v>0</v>
      </c>
      <c r="AQ180" s="244"/>
      <c r="AR180" s="242">
        <f>70*2.2*180</f>
        <v>27720</v>
      </c>
      <c r="AS180" s="244"/>
      <c r="AT180" s="244"/>
      <c r="AU180" s="244"/>
      <c r="AV180" s="241">
        <f t="shared" si="419"/>
        <v>27720</v>
      </c>
      <c r="AX180" s="241">
        <v>0</v>
      </c>
      <c r="AY180" s="244"/>
      <c r="AZ180" s="244">
        <v>0</v>
      </c>
      <c r="BA180" s="244"/>
      <c r="BB180" s="244"/>
      <c r="BC180" s="244"/>
      <c r="BD180" s="241">
        <f t="shared" si="420"/>
        <v>0</v>
      </c>
      <c r="BF180" s="241"/>
      <c r="BG180" s="242"/>
      <c r="BH180" s="242"/>
      <c r="BI180" s="242"/>
      <c r="BJ180" s="242"/>
      <c r="BK180" s="242"/>
      <c r="BL180" s="241">
        <f t="shared" si="421"/>
        <v>0</v>
      </c>
      <c r="BN180" s="241">
        <f t="shared" si="422"/>
        <v>0</v>
      </c>
      <c r="BO180" s="241">
        <f t="shared" si="423"/>
        <v>0</v>
      </c>
      <c r="BP180" s="241">
        <f t="shared" si="424"/>
        <v>156420</v>
      </c>
      <c r="BQ180" s="241">
        <f t="shared" si="425"/>
        <v>0</v>
      </c>
      <c r="BR180" s="241">
        <f t="shared" si="426"/>
        <v>0</v>
      </c>
      <c r="BS180" s="241">
        <f t="shared" si="427"/>
        <v>0</v>
      </c>
      <c r="BT180" s="241">
        <f t="shared" si="428"/>
        <v>156420</v>
      </c>
      <c r="BV180" s="241">
        <v>161685</v>
      </c>
      <c r="BW180" s="286">
        <f t="shared" si="362"/>
        <v>-5265</v>
      </c>
    </row>
    <row r="181" spans="1:75" x14ac:dyDescent="0.25">
      <c r="A181" s="211" t="s">
        <v>282</v>
      </c>
      <c r="B181" s="241">
        <v>0</v>
      </c>
      <c r="C181" s="244"/>
      <c r="D181" s="242">
        <f>3.6*250*180</f>
        <v>162000</v>
      </c>
      <c r="E181" s="244"/>
      <c r="F181" s="244"/>
      <c r="G181" s="244"/>
      <c r="H181" s="241">
        <f t="shared" si="414"/>
        <v>162000</v>
      </c>
      <c r="J181" s="241">
        <v>0</v>
      </c>
      <c r="K181" s="244"/>
      <c r="L181" s="242">
        <f>3.6*525*180</f>
        <v>340200</v>
      </c>
      <c r="M181" s="244"/>
      <c r="N181" s="244"/>
      <c r="O181" s="244"/>
      <c r="P181" s="241">
        <f t="shared" si="415"/>
        <v>340200</v>
      </c>
      <c r="R181" s="241">
        <v>0</v>
      </c>
      <c r="S181" s="244"/>
      <c r="T181" s="242">
        <f>(165*3.6*180)</f>
        <v>106920</v>
      </c>
      <c r="U181" s="244"/>
      <c r="V181" s="244"/>
      <c r="W181" s="244"/>
      <c r="X181" s="241">
        <f t="shared" si="416"/>
        <v>106920</v>
      </c>
      <c r="Z181" s="241">
        <v>0</v>
      </c>
      <c r="AA181" s="244"/>
      <c r="AB181" s="242">
        <f>(105*3.6*180)</f>
        <v>68040</v>
      </c>
      <c r="AC181" s="244"/>
      <c r="AD181" s="244"/>
      <c r="AE181" s="244"/>
      <c r="AF181" s="241">
        <f t="shared" si="417"/>
        <v>68040</v>
      </c>
      <c r="AH181" s="241">
        <v>0</v>
      </c>
      <c r="AI181" s="244"/>
      <c r="AJ181" s="242">
        <f>(275*3.6*180)</f>
        <v>178200</v>
      </c>
      <c r="AK181" s="244"/>
      <c r="AL181" s="244"/>
      <c r="AM181" s="244"/>
      <c r="AN181" s="241">
        <f t="shared" si="418"/>
        <v>178200</v>
      </c>
      <c r="AP181" s="241">
        <v>0</v>
      </c>
      <c r="AQ181" s="244"/>
      <c r="AR181" s="242">
        <f>3.6*175*180</f>
        <v>113400</v>
      </c>
      <c r="AS181" s="244"/>
      <c r="AT181" s="244"/>
      <c r="AU181" s="244"/>
      <c r="AV181" s="241">
        <f t="shared" si="419"/>
        <v>113400</v>
      </c>
      <c r="AX181" s="241">
        <v>0</v>
      </c>
      <c r="AY181" s="244"/>
      <c r="AZ181" s="243"/>
      <c r="BA181" s="244"/>
      <c r="BB181" s="244"/>
      <c r="BC181" s="244"/>
      <c r="BD181" s="241">
        <f t="shared" si="420"/>
        <v>0</v>
      </c>
      <c r="BF181" s="241"/>
      <c r="BG181" s="242"/>
      <c r="BH181" s="242"/>
      <c r="BI181" s="242"/>
      <c r="BJ181" s="242"/>
      <c r="BK181" s="242"/>
      <c r="BL181" s="241">
        <f t="shared" si="421"/>
        <v>0</v>
      </c>
      <c r="BN181" s="241">
        <f t="shared" si="422"/>
        <v>0</v>
      </c>
      <c r="BO181" s="241">
        <f t="shared" si="423"/>
        <v>0</v>
      </c>
      <c r="BP181" s="241">
        <f t="shared" si="424"/>
        <v>968760</v>
      </c>
      <c r="BQ181" s="241">
        <f t="shared" si="425"/>
        <v>0</v>
      </c>
      <c r="BR181" s="241">
        <f t="shared" si="426"/>
        <v>0</v>
      </c>
      <c r="BS181" s="241">
        <f t="shared" si="427"/>
        <v>0</v>
      </c>
      <c r="BT181" s="241">
        <f t="shared" si="428"/>
        <v>968760</v>
      </c>
      <c r="BV181" s="241">
        <v>1022886</v>
      </c>
      <c r="BW181" s="286">
        <f t="shared" si="362"/>
        <v>-54126</v>
      </c>
    </row>
    <row r="182" spans="1:75" x14ac:dyDescent="0.25">
      <c r="A182" s="211" t="s">
        <v>283</v>
      </c>
      <c r="B182" s="241">
        <v>7500</v>
      </c>
      <c r="C182" s="244"/>
      <c r="D182" s="242"/>
      <c r="E182" s="244"/>
      <c r="F182" s="244"/>
      <c r="G182" s="244"/>
      <c r="H182" s="241">
        <f t="shared" si="414"/>
        <v>7500</v>
      </c>
      <c r="J182" s="241">
        <v>10000</v>
      </c>
      <c r="K182" s="244"/>
      <c r="L182" s="244"/>
      <c r="M182" s="244"/>
      <c r="N182" s="244"/>
      <c r="O182" s="244"/>
      <c r="P182" s="241">
        <f t="shared" si="415"/>
        <v>10000</v>
      </c>
      <c r="R182" s="241">
        <v>7500</v>
      </c>
      <c r="S182" s="244"/>
      <c r="T182" s="244"/>
      <c r="U182" s="244"/>
      <c r="V182" s="244"/>
      <c r="W182" s="244"/>
      <c r="X182" s="241">
        <f t="shared" si="416"/>
        <v>7500</v>
      </c>
      <c r="Z182" s="241">
        <v>7500</v>
      </c>
      <c r="AA182" s="244"/>
      <c r="AB182" s="244"/>
      <c r="AC182" s="244"/>
      <c r="AD182" s="244"/>
      <c r="AE182" s="244"/>
      <c r="AF182" s="241">
        <f t="shared" si="417"/>
        <v>7500</v>
      </c>
      <c r="AH182" s="241">
        <v>7500</v>
      </c>
      <c r="AI182" s="244"/>
      <c r="AJ182" s="244"/>
      <c r="AK182" s="244"/>
      <c r="AL182" s="244"/>
      <c r="AM182" s="244"/>
      <c r="AN182" s="241">
        <f t="shared" si="418"/>
        <v>7500</v>
      </c>
      <c r="AP182" s="241">
        <v>5000</v>
      </c>
      <c r="AQ182" s="244"/>
      <c r="AR182" s="244"/>
      <c r="AS182" s="244"/>
      <c r="AT182" s="244"/>
      <c r="AU182" s="244"/>
      <c r="AV182" s="241">
        <f t="shared" si="419"/>
        <v>5000</v>
      </c>
      <c r="AX182" s="241">
        <v>12500</v>
      </c>
      <c r="AY182" s="244"/>
      <c r="AZ182" s="244"/>
      <c r="BA182" s="244"/>
      <c r="BB182" s="244"/>
      <c r="BC182" s="244"/>
      <c r="BD182" s="241">
        <f t="shared" si="420"/>
        <v>12500</v>
      </c>
      <c r="BF182" s="241"/>
      <c r="BG182" s="242"/>
      <c r="BH182" s="242"/>
      <c r="BI182" s="242"/>
      <c r="BJ182" s="242"/>
      <c r="BK182" s="242"/>
      <c r="BL182" s="241">
        <f t="shared" si="421"/>
        <v>0</v>
      </c>
      <c r="BN182" s="241">
        <f t="shared" si="422"/>
        <v>57500</v>
      </c>
      <c r="BO182" s="241">
        <f t="shared" si="423"/>
        <v>0</v>
      </c>
      <c r="BP182" s="241">
        <f t="shared" si="424"/>
        <v>0</v>
      </c>
      <c r="BQ182" s="241">
        <f t="shared" si="425"/>
        <v>0</v>
      </c>
      <c r="BR182" s="241">
        <f t="shared" si="426"/>
        <v>0</v>
      </c>
      <c r="BS182" s="241">
        <f t="shared" si="427"/>
        <v>0</v>
      </c>
      <c r="BT182" s="241">
        <f t="shared" si="428"/>
        <v>57500</v>
      </c>
      <c r="BV182" s="241">
        <v>57500</v>
      </c>
      <c r="BW182" s="286">
        <f t="shared" si="362"/>
        <v>0</v>
      </c>
    </row>
    <row r="183" spans="1:75" x14ac:dyDescent="0.25">
      <c r="A183" s="211" t="s">
        <v>284</v>
      </c>
      <c r="B183" s="241">
        <v>2000</v>
      </c>
      <c r="C183" s="244"/>
      <c r="D183" s="244"/>
      <c r="E183" s="244"/>
      <c r="F183" s="244"/>
      <c r="G183" s="244"/>
      <c r="H183" s="241">
        <f t="shared" si="414"/>
        <v>2000</v>
      </c>
      <c r="J183" s="241">
        <v>2000</v>
      </c>
      <c r="K183" s="244"/>
      <c r="L183" s="244"/>
      <c r="M183" s="244"/>
      <c r="N183" s="244"/>
      <c r="O183" s="244"/>
      <c r="P183" s="241">
        <f t="shared" si="415"/>
        <v>2000</v>
      </c>
      <c r="R183" s="241">
        <v>2000</v>
      </c>
      <c r="S183" s="244"/>
      <c r="T183" s="244"/>
      <c r="U183" s="244"/>
      <c r="V183" s="244"/>
      <c r="W183" s="244"/>
      <c r="X183" s="241">
        <f t="shared" si="416"/>
        <v>2000</v>
      </c>
      <c r="Z183" s="241">
        <v>2000</v>
      </c>
      <c r="AA183" s="244"/>
      <c r="AB183" s="244"/>
      <c r="AC183" s="244"/>
      <c r="AD183" s="244"/>
      <c r="AE183" s="244"/>
      <c r="AF183" s="241">
        <f t="shared" si="417"/>
        <v>2000</v>
      </c>
      <c r="AH183" s="241">
        <v>2500</v>
      </c>
      <c r="AI183" s="244"/>
      <c r="AJ183" s="244"/>
      <c r="AK183" s="244"/>
      <c r="AL183" s="244"/>
      <c r="AM183" s="244"/>
      <c r="AN183" s="241">
        <f t="shared" si="418"/>
        <v>2500</v>
      </c>
      <c r="AP183" s="241">
        <v>1500</v>
      </c>
      <c r="AQ183" s="244"/>
      <c r="AR183" s="244"/>
      <c r="AS183" s="244"/>
      <c r="AT183" s="244"/>
      <c r="AU183" s="244"/>
      <c r="AV183" s="241">
        <f t="shared" si="419"/>
        <v>1500</v>
      </c>
      <c r="AX183" s="241">
        <v>750</v>
      </c>
      <c r="AY183" s="244"/>
      <c r="AZ183" s="244"/>
      <c r="BA183" s="244"/>
      <c r="BB183" s="244"/>
      <c r="BC183" s="244"/>
      <c r="BD183" s="241">
        <f t="shared" si="420"/>
        <v>750</v>
      </c>
      <c r="BF183" s="241">
        <v>7500</v>
      </c>
      <c r="BG183" s="242"/>
      <c r="BH183" s="242"/>
      <c r="BI183" s="242"/>
      <c r="BJ183" s="242"/>
      <c r="BK183" s="242"/>
      <c r="BL183" s="241">
        <f t="shared" si="421"/>
        <v>7500</v>
      </c>
      <c r="BN183" s="241">
        <f t="shared" si="422"/>
        <v>20250</v>
      </c>
      <c r="BO183" s="241">
        <f t="shared" si="423"/>
        <v>0</v>
      </c>
      <c r="BP183" s="241">
        <f t="shared" si="424"/>
        <v>0</v>
      </c>
      <c r="BQ183" s="241">
        <f t="shared" si="425"/>
        <v>0</v>
      </c>
      <c r="BR183" s="241">
        <f t="shared" si="426"/>
        <v>0</v>
      </c>
      <c r="BS183" s="241">
        <f t="shared" si="427"/>
        <v>0</v>
      </c>
      <c r="BT183" s="241">
        <f t="shared" si="428"/>
        <v>20250</v>
      </c>
      <c r="BV183" s="241">
        <v>20250</v>
      </c>
      <c r="BW183" s="286">
        <f t="shared" si="362"/>
        <v>0</v>
      </c>
    </row>
    <row r="184" spans="1:75" x14ac:dyDescent="0.25">
      <c r="A184" s="211" t="s">
        <v>285</v>
      </c>
      <c r="B184" s="241">
        <v>1000</v>
      </c>
      <c r="C184" s="244"/>
      <c r="D184" s="244"/>
      <c r="E184" s="244"/>
      <c r="F184" s="244"/>
      <c r="G184" s="244"/>
      <c r="H184" s="241">
        <f t="shared" si="414"/>
        <v>1000</v>
      </c>
      <c r="J184" s="241">
        <v>2000</v>
      </c>
      <c r="K184" s="244"/>
      <c r="L184" s="244"/>
      <c r="M184" s="244"/>
      <c r="N184" s="244"/>
      <c r="O184" s="244"/>
      <c r="P184" s="241">
        <f t="shared" si="415"/>
        <v>2000</v>
      </c>
      <c r="R184" s="241">
        <v>1000</v>
      </c>
      <c r="S184" s="244"/>
      <c r="T184" s="244"/>
      <c r="U184" s="244"/>
      <c r="V184" s="244"/>
      <c r="W184" s="244"/>
      <c r="X184" s="241">
        <f t="shared" si="416"/>
        <v>1000</v>
      </c>
      <c r="Z184" s="241">
        <v>1000</v>
      </c>
      <c r="AA184" s="244"/>
      <c r="AB184" s="244"/>
      <c r="AC184" s="244"/>
      <c r="AD184" s="244"/>
      <c r="AE184" s="244"/>
      <c r="AF184" s="241">
        <f t="shared" si="417"/>
        <v>1000</v>
      </c>
      <c r="AH184" s="241">
        <v>1200</v>
      </c>
      <c r="AI184" s="244"/>
      <c r="AJ184" s="244"/>
      <c r="AK184" s="244"/>
      <c r="AL184" s="244"/>
      <c r="AM184" s="244"/>
      <c r="AN184" s="241">
        <f t="shared" si="418"/>
        <v>1200</v>
      </c>
      <c r="AP184" s="241">
        <v>500</v>
      </c>
      <c r="AQ184" s="244"/>
      <c r="AR184" s="244"/>
      <c r="AS184" s="244"/>
      <c r="AT184" s="244"/>
      <c r="AU184" s="244"/>
      <c r="AV184" s="241">
        <f t="shared" si="419"/>
        <v>500</v>
      </c>
      <c r="AX184" s="241">
        <v>500</v>
      </c>
      <c r="AY184" s="244"/>
      <c r="AZ184" s="244"/>
      <c r="BA184" s="244"/>
      <c r="BB184" s="244"/>
      <c r="BC184" s="244"/>
      <c r="BD184" s="241">
        <f t="shared" si="420"/>
        <v>500</v>
      </c>
      <c r="BF184" s="241"/>
      <c r="BG184" s="242"/>
      <c r="BH184" s="242"/>
      <c r="BI184" s="242"/>
      <c r="BJ184" s="242"/>
      <c r="BK184" s="242"/>
      <c r="BL184" s="241">
        <f t="shared" si="421"/>
        <v>0</v>
      </c>
      <c r="BN184" s="241">
        <f t="shared" si="422"/>
        <v>7200</v>
      </c>
      <c r="BO184" s="241">
        <f t="shared" si="423"/>
        <v>0</v>
      </c>
      <c r="BP184" s="241">
        <f t="shared" si="424"/>
        <v>0</v>
      </c>
      <c r="BQ184" s="241">
        <f t="shared" si="425"/>
        <v>0</v>
      </c>
      <c r="BR184" s="241">
        <f t="shared" si="426"/>
        <v>0</v>
      </c>
      <c r="BS184" s="241">
        <f t="shared" si="427"/>
        <v>0</v>
      </c>
      <c r="BT184" s="241">
        <f t="shared" si="428"/>
        <v>7200</v>
      </c>
      <c r="BV184" s="241">
        <v>7200</v>
      </c>
      <c r="BW184" s="286">
        <f t="shared" si="362"/>
        <v>0</v>
      </c>
    </row>
    <row r="185" spans="1:75" x14ac:dyDescent="0.25">
      <c r="A185" s="211" t="s">
        <v>286</v>
      </c>
      <c r="B185" s="244">
        <f>(7*950)+1200+3500+4500</f>
        <v>15850</v>
      </c>
      <c r="C185" s="244"/>
      <c r="D185" s="244"/>
      <c r="E185" s="244"/>
      <c r="F185" s="244"/>
      <c r="G185" s="244"/>
      <c r="H185" s="241">
        <f t="shared" si="414"/>
        <v>15850</v>
      </c>
      <c r="J185" s="244">
        <f>(7*2500)+1200+3500+6500+7500</f>
        <v>36200</v>
      </c>
      <c r="K185" s="244"/>
      <c r="L185" s="244"/>
      <c r="M185" s="244"/>
      <c r="N185" s="244"/>
      <c r="O185" s="244"/>
      <c r="P185" s="241">
        <f t="shared" si="415"/>
        <v>36200</v>
      </c>
      <c r="R185" s="244">
        <f>(7*1050)+1200+3500+4500</f>
        <v>16550</v>
      </c>
      <c r="S185" s="244"/>
      <c r="T185" s="244"/>
      <c r="U185" s="244"/>
      <c r="V185" s="244"/>
      <c r="W185" s="244"/>
      <c r="X185" s="241">
        <f t="shared" si="416"/>
        <v>16550</v>
      </c>
      <c r="Z185" s="244">
        <f>(7*1200)+1200+3500+4500</f>
        <v>17600</v>
      </c>
      <c r="AA185" s="244"/>
      <c r="AB185" s="244"/>
      <c r="AC185" s="244"/>
      <c r="AD185" s="244"/>
      <c r="AE185" s="244"/>
      <c r="AF185" s="241">
        <f t="shared" si="417"/>
        <v>17600</v>
      </c>
      <c r="AH185" s="244">
        <f>(7*2400)+1200+3500+7500+5000</f>
        <v>34000</v>
      </c>
      <c r="AI185" s="244"/>
      <c r="AJ185" s="244"/>
      <c r="AK185" s="244"/>
      <c r="AL185" s="244"/>
      <c r="AM185" s="244"/>
      <c r="AN185" s="241">
        <f t="shared" si="418"/>
        <v>34000</v>
      </c>
      <c r="AP185" s="244">
        <f>(7*350)+1200+2500</f>
        <v>6150</v>
      </c>
      <c r="AQ185" s="244"/>
      <c r="AR185" s="244"/>
      <c r="AS185" s="244"/>
      <c r="AT185" s="244"/>
      <c r="AU185" s="244"/>
      <c r="AV185" s="241">
        <f t="shared" si="419"/>
        <v>6150</v>
      </c>
      <c r="AX185" s="244">
        <f>(7*350)+1200+2500</f>
        <v>6150</v>
      </c>
      <c r="AY185" s="244"/>
      <c r="AZ185" s="244"/>
      <c r="BA185" s="244"/>
      <c r="BB185" s="244"/>
      <c r="BC185" s="244"/>
      <c r="BD185" s="241">
        <f t="shared" si="420"/>
        <v>6150</v>
      </c>
      <c r="BF185" s="242">
        <f>1500*12</f>
        <v>18000</v>
      </c>
      <c r="BG185" s="242"/>
      <c r="BH185" s="242"/>
      <c r="BI185" s="242"/>
      <c r="BJ185" s="242"/>
      <c r="BK185" s="242"/>
      <c r="BL185" s="241">
        <f t="shared" si="421"/>
        <v>18000</v>
      </c>
      <c r="BN185" s="241">
        <f t="shared" si="422"/>
        <v>150500</v>
      </c>
      <c r="BO185" s="241">
        <f t="shared" si="423"/>
        <v>0</v>
      </c>
      <c r="BP185" s="241">
        <f t="shared" si="424"/>
        <v>0</v>
      </c>
      <c r="BQ185" s="241">
        <f t="shared" si="425"/>
        <v>0</v>
      </c>
      <c r="BR185" s="241">
        <f t="shared" si="426"/>
        <v>0</v>
      </c>
      <c r="BS185" s="241">
        <f t="shared" si="427"/>
        <v>0</v>
      </c>
      <c r="BT185" s="241">
        <f t="shared" si="428"/>
        <v>150500</v>
      </c>
      <c r="BV185" s="241">
        <v>122700</v>
      </c>
      <c r="BW185" s="286">
        <f t="shared" si="362"/>
        <v>27800</v>
      </c>
    </row>
    <row r="186" spans="1:75" x14ac:dyDescent="0.25">
      <c r="A186" s="211" t="s">
        <v>264</v>
      </c>
      <c r="B186" s="244"/>
      <c r="C186" s="244"/>
      <c r="D186" s="244"/>
      <c r="E186" s="244"/>
      <c r="F186" s="244"/>
      <c r="G186" s="244"/>
      <c r="H186" s="241">
        <f t="shared" si="414"/>
        <v>0</v>
      </c>
      <c r="J186" s="244">
        <v>50000</v>
      </c>
      <c r="K186" s="244"/>
      <c r="L186" s="244"/>
      <c r="M186" s="244"/>
      <c r="N186" s="244"/>
      <c r="O186" s="244"/>
      <c r="P186" s="241">
        <f t="shared" si="415"/>
        <v>50000</v>
      </c>
      <c r="R186" s="244"/>
      <c r="S186" s="244"/>
      <c r="T186" s="244"/>
      <c r="U186" s="244"/>
      <c r="V186" s="244"/>
      <c r="W186" s="244"/>
      <c r="X186" s="241">
        <f t="shared" si="416"/>
        <v>0</v>
      </c>
      <c r="Z186" s="244"/>
      <c r="AA186" s="244"/>
      <c r="AB186" s="244"/>
      <c r="AC186" s="244"/>
      <c r="AD186" s="244"/>
      <c r="AE186" s="244"/>
      <c r="AF186" s="241">
        <f t="shared" si="417"/>
        <v>0</v>
      </c>
      <c r="AH186" s="244">
        <v>50000</v>
      </c>
      <c r="AI186" s="244"/>
      <c r="AJ186" s="244"/>
      <c r="AK186" s="244"/>
      <c r="AL186" s="244"/>
      <c r="AM186" s="244"/>
      <c r="AN186" s="241">
        <f t="shared" si="418"/>
        <v>50000</v>
      </c>
      <c r="AP186" s="244"/>
      <c r="AQ186" s="244"/>
      <c r="AR186" s="244"/>
      <c r="AS186" s="244"/>
      <c r="AT186" s="244"/>
      <c r="AU186" s="244"/>
      <c r="AV186" s="241">
        <f t="shared" si="419"/>
        <v>0</v>
      </c>
      <c r="AX186" s="244"/>
      <c r="AY186" s="244"/>
      <c r="AZ186" s="244"/>
      <c r="BA186" s="244"/>
      <c r="BB186" s="244"/>
      <c r="BC186" s="244"/>
      <c r="BD186" s="241">
        <f t="shared" si="420"/>
        <v>0</v>
      </c>
      <c r="BF186" s="242"/>
      <c r="BG186" s="242"/>
      <c r="BH186" s="242"/>
      <c r="BI186" s="242"/>
      <c r="BJ186" s="242"/>
      <c r="BK186" s="242"/>
      <c r="BL186" s="241">
        <f t="shared" si="421"/>
        <v>0</v>
      </c>
      <c r="BN186" s="241">
        <f t="shared" si="422"/>
        <v>100000</v>
      </c>
      <c r="BO186" s="241">
        <f t="shared" si="423"/>
        <v>0</v>
      </c>
      <c r="BP186" s="241">
        <f t="shared" si="424"/>
        <v>0</v>
      </c>
      <c r="BQ186" s="241">
        <f t="shared" si="425"/>
        <v>0</v>
      </c>
      <c r="BR186" s="241">
        <f t="shared" si="426"/>
        <v>0</v>
      </c>
      <c r="BS186" s="241">
        <f t="shared" si="427"/>
        <v>0</v>
      </c>
      <c r="BT186" s="241">
        <f t="shared" si="428"/>
        <v>100000</v>
      </c>
      <c r="BV186" s="241">
        <v>100000</v>
      </c>
      <c r="BW186" s="286">
        <f t="shared" si="362"/>
        <v>0</v>
      </c>
    </row>
    <row r="187" spans="1:75" x14ac:dyDescent="0.25">
      <c r="A187" s="211" t="s">
        <v>287</v>
      </c>
      <c r="B187" s="244"/>
      <c r="C187" s="244"/>
      <c r="D187" s="244"/>
      <c r="E187" s="244"/>
      <c r="F187" s="244"/>
      <c r="G187" s="244"/>
      <c r="H187" s="241">
        <f t="shared" si="414"/>
        <v>0</v>
      </c>
      <c r="J187" s="244">
        <v>0</v>
      </c>
      <c r="K187" s="244"/>
      <c r="L187" s="244"/>
      <c r="M187" s="244"/>
      <c r="N187" s="244"/>
      <c r="O187" s="244"/>
      <c r="P187" s="241">
        <f t="shared" si="415"/>
        <v>0</v>
      </c>
      <c r="R187" s="244"/>
      <c r="S187" s="244"/>
      <c r="T187" s="244"/>
      <c r="U187" s="244"/>
      <c r="V187" s="244"/>
      <c r="W187" s="244"/>
      <c r="X187" s="241">
        <f t="shared" si="416"/>
        <v>0</v>
      </c>
      <c r="Z187" s="244"/>
      <c r="AA187" s="244"/>
      <c r="AB187" s="244"/>
      <c r="AC187" s="244"/>
      <c r="AD187" s="244"/>
      <c r="AE187" s="244"/>
      <c r="AF187" s="241">
        <f t="shared" si="417"/>
        <v>0</v>
      </c>
      <c r="AH187" s="244"/>
      <c r="AI187" s="244"/>
      <c r="AJ187" s="244"/>
      <c r="AK187" s="244"/>
      <c r="AL187" s="244"/>
      <c r="AM187" s="244"/>
      <c r="AN187" s="241">
        <f t="shared" si="418"/>
        <v>0</v>
      </c>
      <c r="AP187" s="244"/>
      <c r="AQ187" s="244"/>
      <c r="AR187" s="244"/>
      <c r="AS187" s="244"/>
      <c r="AT187" s="244"/>
      <c r="AU187" s="244"/>
      <c r="AV187" s="241">
        <f t="shared" si="419"/>
        <v>0</v>
      </c>
      <c r="AX187" s="244"/>
      <c r="AY187" s="244"/>
      <c r="AZ187" s="244"/>
      <c r="BA187" s="244"/>
      <c r="BB187" s="244"/>
      <c r="BC187" s="244"/>
      <c r="BD187" s="241">
        <f t="shared" si="420"/>
        <v>0</v>
      </c>
      <c r="BF187" s="242"/>
      <c r="BG187" s="242"/>
      <c r="BH187" s="242"/>
      <c r="BI187" s="242"/>
      <c r="BJ187" s="242"/>
      <c r="BK187" s="242"/>
      <c r="BL187" s="241">
        <f t="shared" si="421"/>
        <v>0</v>
      </c>
      <c r="BN187" s="241">
        <f t="shared" si="422"/>
        <v>0</v>
      </c>
      <c r="BO187" s="241">
        <f t="shared" si="423"/>
        <v>0</v>
      </c>
      <c r="BP187" s="241">
        <f t="shared" si="424"/>
        <v>0</v>
      </c>
      <c r="BQ187" s="241">
        <f t="shared" si="425"/>
        <v>0</v>
      </c>
      <c r="BR187" s="241">
        <f t="shared" si="426"/>
        <v>0</v>
      </c>
      <c r="BS187" s="241">
        <f t="shared" si="427"/>
        <v>0</v>
      </c>
      <c r="BT187" s="241">
        <f t="shared" si="428"/>
        <v>0</v>
      </c>
      <c r="BV187" s="241">
        <v>0</v>
      </c>
      <c r="BW187" s="286">
        <f t="shared" si="362"/>
        <v>0</v>
      </c>
    </row>
    <row r="188" spans="1:75" x14ac:dyDescent="0.25">
      <c r="A188" s="211" t="s">
        <v>288</v>
      </c>
      <c r="B188" s="244">
        <v>0</v>
      </c>
      <c r="C188" s="244"/>
      <c r="D188" s="244"/>
      <c r="E188" s="244"/>
      <c r="F188" s="244"/>
      <c r="G188" s="244"/>
      <c r="H188" s="241">
        <f t="shared" si="414"/>
        <v>0</v>
      </c>
      <c r="J188" s="244">
        <v>0</v>
      </c>
      <c r="K188" s="244"/>
      <c r="L188" s="244"/>
      <c r="M188" s="244"/>
      <c r="N188" s="244"/>
      <c r="O188" s="244"/>
      <c r="P188" s="241">
        <f t="shared" si="415"/>
        <v>0</v>
      </c>
      <c r="R188" s="244">
        <v>0</v>
      </c>
      <c r="S188" s="244"/>
      <c r="T188" s="244"/>
      <c r="U188" s="244"/>
      <c r="V188" s="244"/>
      <c r="W188" s="244"/>
      <c r="X188" s="241">
        <f t="shared" si="416"/>
        <v>0</v>
      </c>
      <c r="Z188" s="244">
        <v>0</v>
      </c>
      <c r="AA188" s="244"/>
      <c r="AB188" s="244"/>
      <c r="AC188" s="244"/>
      <c r="AD188" s="244"/>
      <c r="AE188" s="244"/>
      <c r="AF188" s="241">
        <f t="shared" si="417"/>
        <v>0</v>
      </c>
      <c r="AH188" s="244">
        <v>0</v>
      </c>
      <c r="AI188" s="244"/>
      <c r="AJ188" s="244"/>
      <c r="AK188" s="244"/>
      <c r="AL188" s="244"/>
      <c r="AM188" s="244"/>
      <c r="AN188" s="241">
        <f t="shared" si="418"/>
        <v>0</v>
      </c>
      <c r="AP188" s="244">
        <v>0</v>
      </c>
      <c r="AQ188" s="244"/>
      <c r="AR188" s="244"/>
      <c r="AS188" s="244"/>
      <c r="AT188" s="244"/>
      <c r="AU188" s="244"/>
      <c r="AV188" s="241">
        <f t="shared" si="419"/>
        <v>0</v>
      </c>
      <c r="AX188" s="244">
        <v>0</v>
      </c>
      <c r="AY188" s="244"/>
      <c r="AZ188" s="244"/>
      <c r="BA188" s="244"/>
      <c r="BB188" s="244"/>
      <c r="BC188" s="244"/>
      <c r="BD188" s="241">
        <f t="shared" si="420"/>
        <v>0</v>
      </c>
      <c r="BF188" s="242"/>
      <c r="BG188" s="242"/>
      <c r="BH188" s="242"/>
      <c r="BI188" s="242"/>
      <c r="BJ188" s="242"/>
      <c r="BK188" s="242"/>
      <c r="BL188" s="241">
        <f t="shared" si="421"/>
        <v>0</v>
      </c>
      <c r="BN188" s="241">
        <f t="shared" si="422"/>
        <v>0</v>
      </c>
      <c r="BO188" s="241">
        <f t="shared" si="423"/>
        <v>0</v>
      </c>
      <c r="BP188" s="241">
        <f t="shared" si="424"/>
        <v>0</v>
      </c>
      <c r="BQ188" s="241">
        <f t="shared" si="425"/>
        <v>0</v>
      </c>
      <c r="BR188" s="241">
        <f t="shared" si="426"/>
        <v>0</v>
      </c>
      <c r="BS188" s="241">
        <f t="shared" si="427"/>
        <v>0</v>
      </c>
      <c r="BT188" s="241">
        <f t="shared" si="428"/>
        <v>0</v>
      </c>
      <c r="BV188" s="241">
        <v>0</v>
      </c>
      <c r="BW188" s="286">
        <f t="shared" si="362"/>
        <v>0</v>
      </c>
    </row>
    <row r="189" spans="1:75" x14ac:dyDescent="0.25">
      <c r="A189" s="211" t="s">
        <v>289</v>
      </c>
      <c r="B189" s="244"/>
      <c r="C189" s="244"/>
      <c r="D189" s="244"/>
      <c r="E189" s="244"/>
      <c r="F189" s="244"/>
      <c r="G189" s="244"/>
      <c r="H189" s="241">
        <f t="shared" si="414"/>
        <v>0</v>
      </c>
      <c r="J189" s="244"/>
      <c r="K189" s="244"/>
      <c r="L189" s="244"/>
      <c r="M189" s="244"/>
      <c r="N189" s="244"/>
      <c r="O189" s="244"/>
      <c r="P189" s="241">
        <f t="shared" si="415"/>
        <v>0</v>
      </c>
      <c r="R189" s="244"/>
      <c r="S189" s="244"/>
      <c r="T189" s="244"/>
      <c r="U189" s="244"/>
      <c r="V189" s="244"/>
      <c r="W189" s="244"/>
      <c r="X189" s="241">
        <f t="shared" si="416"/>
        <v>0</v>
      </c>
      <c r="Z189" s="244"/>
      <c r="AA189" s="244"/>
      <c r="AB189" s="244"/>
      <c r="AC189" s="244"/>
      <c r="AD189" s="244"/>
      <c r="AE189" s="244"/>
      <c r="AF189" s="241">
        <f t="shared" si="417"/>
        <v>0</v>
      </c>
      <c r="AH189" s="244"/>
      <c r="AI189" s="244"/>
      <c r="AJ189" s="244"/>
      <c r="AK189" s="244"/>
      <c r="AL189" s="244"/>
      <c r="AM189" s="244"/>
      <c r="AN189" s="241">
        <f t="shared" si="418"/>
        <v>0</v>
      </c>
      <c r="AP189" s="244"/>
      <c r="AQ189" s="244"/>
      <c r="AR189" s="244"/>
      <c r="AS189" s="244"/>
      <c r="AT189" s="244"/>
      <c r="AU189" s="244"/>
      <c r="AV189" s="241">
        <f t="shared" si="419"/>
        <v>0</v>
      </c>
      <c r="AX189" s="244"/>
      <c r="AY189" s="244"/>
      <c r="AZ189" s="244"/>
      <c r="BA189" s="244"/>
      <c r="BB189" s="244"/>
      <c r="BC189" s="244"/>
      <c r="BD189" s="241">
        <f t="shared" si="420"/>
        <v>0</v>
      </c>
      <c r="BF189" s="242"/>
      <c r="BG189" s="242"/>
      <c r="BH189" s="242"/>
      <c r="BI189" s="242"/>
      <c r="BJ189" s="242"/>
      <c r="BK189" s="242"/>
      <c r="BL189" s="241">
        <f t="shared" si="421"/>
        <v>0</v>
      </c>
      <c r="BN189" s="241">
        <f t="shared" si="422"/>
        <v>0</v>
      </c>
      <c r="BO189" s="241">
        <f t="shared" si="423"/>
        <v>0</v>
      </c>
      <c r="BP189" s="241">
        <f t="shared" si="424"/>
        <v>0</v>
      </c>
      <c r="BQ189" s="241">
        <f t="shared" si="425"/>
        <v>0</v>
      </c>
      <c r="BR189" s="241">
        <f t="shared" si="426"/>
        <v>0</v>
      </c>
      <c r="BS189" s="241">
        <f t="shared" si="427"/>
        <v>0</v>
      </c>
      <c r="BT189" s="241">
        <f t="shared" si="428"/>
        <v>0</v>
      </c>
      <c r="BV189" s="241">
        <v>0</v>
      </c>
      <c r="BW189" s="286">
        <f t="shared" si="362"/>
        <v>0</v>
      </c>
    </row>
    <row r="190" spans="1:75" x14ac:dyDescent="0.25">
      <c r="A190" s="211" t="s">
        <v>290</v>
      </c>
      <c r="B190" s="244"/>
      <c r="C190" s="244"/>
      <c r="D190" s="244"/>
      <c r="E190" s="244"/>
      <c r="F190" s="244"/>
      <c r="G190" s="244"/>
      <c r="H190" s="241">
        <f t="shared" si="414"/>
        <v>0</v>
      </c>
      <c r="J190" s="244"/>
      <c r="K190" s="244"/>
      <c r="L190" s="244"/>
      <c r="M190" s="244"/>
      <c r="N190" s="244"/>
      <c r="O190" s="244"/>
      <c r="P190" s="241">
        <f t="shared" si="415"/>
        <v>0</v>
      </c>
      <c r="R190" s="244"/>
      <c r="S190" s="244"/>
      <c r="T190" s="244"/>
      <c r="U190" s="244"/>
      <c r="V190" s="244"/>
      <c r="W190" s="244"/>
      <c r="X190" s="241">
        <f t="shared" si="416"/>
        <v>0</v>
      </c>
      <c r="Z190" s="244"/>
      <c r="AA190" s="244"/>
      <c r="AB190" s="244"/>
      <c r="AC190" s="244"/>
      <c r="AD190" s="244"/>
      <c r="AE190" s="244"/>
      <c r="AF190" s="241">
        <f t="shared" si="417"/>
        <v>0</v>
      </c>
      <c r="AH190" s="244"/>
      <c r="AI190" s="244"/>
      <c r="AJ190" s="244"/>
      <c r="AK190" s="244"/>
      <c r="AL190" s="244"/>
      <c r="AM190" s="244"/>
      <c r="AN190" s="241">
        <f t="shared" si="418"/>
        <v>0</v>
      </c>
      <c r="AP190" s="244"/>
      <c r="AQ190" s="244"/>
      <c r="AR190" s="244"/>
      <c r="AS190" s="244"/>
      <c r="AT190" s="244"/>
      <c r="AU190" s="244"/>
      <c r="AV190" s="241">
        <f t="shared" si="419"/>
        <v>0</v>
      </c>
      <c r="AX190" s="244"/>
      <c r="AY190" s="244"/>
      <c r="AZ190" s="244"/>
      <c r="BA190" s="244"/>
      <c r="BB190" s="244"/>
      <c r="BC190" s="244"/>
      <c r="BD190" s="241">
        <f t="shared" si="420"/>
        <v>0</v>
      </c>
      <c r="BF190" s="242"/>
      <c r="BG190" s="242"/>
      <c r="BH190" s="242"/>
      <c r="BI190" s="242"/>
      <c r="BJ190" s="242"/>
      <c r="BK190" s="242"/>
      <c r="BL190" s="241">
        <f t="shared" si="421"/>
        <v>0</v>
      </c>
      <c r="BN190" s="241">
        <f t="shared" si="422"/>
        <v>0</v>
      </c>
      <c r="BO190" s="241">
        <f t="shared" si="423"/>
        <v>0</v>
      </c>
      <c r="BP190" s="241">
        <f t="shared" si="424"/>
        <v>0</v>
      </c>
      <c r="BQ190" s="241">
        <f t="shared" si="425"/>
        <v>0</v>
      </c>
      <c r="BR190" s="241">
        <f t="shared" si="426"/>
        <v>0</v>
      </c>
      <c r="BS190" s="241">
        <f t="shared" si="427"/>
        <v>0</v>
      </c>
      <c r="BT190" s="241">
        <f t="shared" si="428"/>
        <v>0</v>
      </c>
      <c r="BV190" s="241">
        <v>0</v>
      </c>
      <c r="BW190" s="286">
        <f t="shared" si="362"/>
        <v>0</v>
      </c>
    </row>
    <row r="191" spans="1:75" x14ac:dyDescent="0.25">
      <c r="A191" s="211" t="s">
        <v>291</v>
      </c>
      <c r="B191" s="244"/>
      <c r="C191" s="244"/>
      <c r="D191" s="244"/>
      <c r="E191" s="244"/>
      <c r="F191" s="244"/>
      <c r="G191" s="244">
        <f>G79</f>
        <v>300000</v>
      </c>
      <c r="H191" s="241">
        <f t="shared" si="414"/>
        <v>300000</v>
      </c>
      <c r="J191" s="244"/>
      <c r="K191" s="244"/>
      <c r="L191" s="244"/>
      <c r="M191" s="244"/>
      <c r="N191" s="244"/>
      <c r="O191" s="244">
        <f>O79</f>
        <v>1500000</v>
      </c>
      <c r="P191" s="241">
        <f t="shared" si="415"/>
        <v>1500000</v>
      </c>
      <c r="R191" s="244"/>
      <c r="S191" s="244"/>
      <c r="T191" s="244"/>
      <c r="U191" s="244"/>
      <c r="V191" s="244"/>
      <c r="W191" s="244">
        <f>W79</f>
        <v>850000</v>
      </c>
      <c r="X191" s="241">
        <f t="shared" si="416"/>
        <v>850000</v>
      </c>
      <c r="Z191" s="244"/>
      <c r="AA191" s="244"/>
      <c r="AB191" s="244"/>
      <c r="AC191" s="244"/>
      <c r="AD191" s="244"/>
      <c r="AE191" s="244">
        <f>AE79</f>
        <v>900000</v>
      </c>
      <c r="AF191" s="241">
        <f t="shared" si="417"/>
        <v>900000</v>
      </c>
      <c r="AH191" s="244"/>
      <c r="AI191" s="244"/>
      <c r="AJ191" s="244"/>
      <c r="AK191" s="244"/>
      <c r="AL191" s="244"/>
      <c r="AM191" s="244">
        <f>AM79</f>
        <v>2500000</v>
      </c>
      <c r="AN191" s="241">
        <f t="shared" si="418"/>
        <v>2500000</v>
      </c>
      <c r="AP191" s="244"/>
      <c r="AQ191" s="244"/>
      <c r="AR191" s="244"/>
      <c r="AS191" s="244"/>
      <c r="AT191" s="244"/>
      <c r="AU191" s="244">
        <f>AU79</f>
        <v>100000</v>
      </c>
      <c r="AV191" s="241">
        <f t="shared" si="419"/>
        <v>100000</v>
      </c>
      <c r="AX191" s="244"/>
      <c r="AY191" s="244"/>
      <c r="AZ191" s="244"/>
      <c r="BA191" s="244"/>
      <c r="BB191" s="244"/>
      <c r="BC191" s="244">
        <f>BC79</f>
        <v>25000</v>
      </c>
      <c r="BD191" s="241">
        <f t="shared" si="420"/>
        <v>25000</v>
      </c>
      <c r="BF191" s="242"/>
      <c r="BG191" s="242"/>
      <c r="BH191" s="242"/>
      <c r="BI191" s="242"/>
      <c r="BJ191" s="242"/>
      <c r="BK191" s="242"/>
      <c r="BL191" s="241">
        <f t="shared" si="421"/>
        <v>0</v>
      </c>
      <c r="BN191" s="241">
        <f t="shared" si="422"/>
        <v>0</v>
      </c>
      <c r="BO191" s="241">
        <f t="shared" si="423"/>
        <v>0</v>
      </c>
      <c r="BP191" s="241">
        <f t="shared" si="424"/>
        <v>0</v>
      </c>
      <c r="BQ191" s="241">
        <f t="shared" si="425"/>
        <v>0</v>
      </c>
      <c r="BR191" s="241">
        <f t="shared" si="426"/>
        <v>0</v>
      </c>
      <c r="BS191" s="241">
        <f t="shared" si="427"/>
        <v>6175000</v>
      </c>
      <c r="BT191" s="241">
        <f t="shared" si="428"/>
        <v>6175000</v>
      </c>
      <c r="BV191" s="241">
        <v>6175000</v>
      </c>
      <c r="BW191" s="286">
        <f t="shared" si="362"/>
        <v>0</v>
      </c>
    </row>
    <row r="192" spans="1:75" x14ac:dyDescent="0.25">
      <c r="A192" s="211" t="s">
        <v>292</v>
      </c>
      <c r="B192" s="244">
        <v>3500</v>
      </c>
      <c r="C192" s="244"/>
      <c r="D192" s="244"/>
      <c r="E192" s="244"/>
      <c r="F192" s="244"/>
      <c r="G192" s="244"/>
      <c r="H192" s="241">
        <f t="shared" si="414"/>
        <v>3500</v>
      </c>
      <c r="J192" s="244">
        <v>5000</v>
      </c>
      <c r="K192" s="244"/>
      <c r="L192" s="244"/>
      <c r="M192" s="244"/>
      <c r="N192" s="244">
        <v>49770</v>
      </c>
      <c r="O192" s="244"/>
      <c r="P192" s="241">
        <f t="shared" si="415"/>
        <v>54770</v>
      </c>
      <c r="R192" s="244">
        <v>5000</v>
      </c>
      <c r="S192" s="244"/>
      <c r="T192" s="244"/>
      <c r="U192" s="244"/>
      <c r="V192" s="244"/>
      <c r="W192" s="244"/>
      <c r="X192" s="241">
        <f t="shared" si="416"/>
        <v>5000</v>
      </c>
      <c r="Z192" s="244">
        <v>5000</v>
      </c>
      <c r="AA192" s="244"/>
      <c r="AB192" s="244"/>
      <c r="AC192" s="244"/>
      <c r="AD192" s="244"/>
      <c r="AE192" s="244"/>
      <c r="AF192" s="241">
        <f t="shared" si="417"/>
        <v>5000</v>
      </c>
      <c r="AH192" s="244">
        <v>5000</v>
      </c>
      <c r="AI192" s="244"/>
      <c r="AJ192" s="244"/>
      <c r="AK192" s="244"/>
      <c r="AL192" s="244"/>
      <c r="AM192" s="244"/>
      <c r="AN192" s="241">
        <f t="shared" si="418"/>
        <v>5000</v>
      </c>
      <c r="AP192" s="244">
        <v>2500</v>
      </c>
      <c r="AQ192" s="244"/>
      <c r="AR192" s="244"/>
      <c r="AS192" s="244"/>
      <c r="AT192" s="244"/>
      <c r="AU192" s="244"/>
      <c r="AV192" s="241">
        <f t="shared" si="419"/>
        <v>2500</v>
      </c>
      <c r="AX192" s="244">
        <v>1000</v>
      </c>
      <c r="AY192" s="244"/>
      <c r="AZ192" s="244"/>
      <c r="BA192" s="244"/>
      <c r="BB192" s="244"/>
      <c r="BC192" s="244"/>
      <c r="BD192" s="241">
        <f t="shared" si="420"/>
        <v>1000</v>
      </c>
      <c r="BF192" s="242"/>
      <c r="BG192" s="242"/>
      <c r="BH192" s="242"/>
      <c r="BI192" s="242"/>
      <c r="BJ192" s="280">
        <f>145235+192192</f>
        <v>337427</v>
      </c>
      <c r="BK192" s="242"/>
      <c r="BL192" s="241">
        <f t="shared" si="421"/>
        <v>337427</v>
      </c>
      <c r="BN192" s="241">
        <f t="shared" si="422"/>
        <v>27000</v>
      </c>
      <c r="BO192" s="241">
        <f t="shared" si="423"/>
        <v>0</v>
      </c>
      <c r="BP192" s="241">
        <f t="shared" si="424"/>
        <v>0</v>
      </c>
      <c r="BQ192" s="241">
        <f t="shared" si="425"/>
        <v>0</v>
      </c>
      <c r="BR192" s="241">
        <f t="shared" si="426"/>
        <v>387197</v>
      </c>
      <c r="BS192" s="241">
        <f t="shared" si="427"/>
        <v>0</v>
      </c>
      <c r="BT192" s="241">
        <f t="shared" si="428"/>
        <v>414197</v>
      </c>
      <c r="BV192" s="241">
        <v>414197</v>
      </c>
      <c r="BW192" s="286">
        <f t="shared" si="362"/>
        <v>0</v>
      </c>
    </row>
    <row r="193" spans="1:75" x14ac:dyDescent="0.25">
      <c r="A193" s="212" t="s">
        <v>293</v>
      </c>
      <c r="B193" s="245">
        <f>B68*0.01</f>
        <v>85685.6</v>
      </c>
      <c r="C193" s="245"/>
      <c r="D193" s="245"/>
      <c r="E193" s="245"/>
      <c r="F193" s="245"/>
      <c r="G193" s="245"/>
      <c r="H193" s="241">
        <f>SUM(B193:G193)</f>
        <v>85685.6</v>
      </c>
      <c r="J193" s="245">
        <f>J68*0.02</f>
        <v>468163.52</v>
      </c>
      <c r="K193" s="245"/>
      <c r="L193" s="245"/>
      <c r="M193" s="245"/>
      <c r="N193" s="245"/>
      <c r="O193" s="245"/>
      <c r="P193" s="241">
        <f>SUM(J193:O193)</f>
        <v>468163.52</v>
      </c>
      <c r="R193" s="245">
        <f>R68*0.0185</f>
        <v>179421.88</v>
      </c>
      <c r="S193" s="245"/>
      <c r="T193" s="245"/>
      <c r="U193" s="245"/>
      <c r="V193" s="245"/>
      <c r="W193" s="245"/>
      <c r="X193" s="241">
        <f>SUM(R193:W193)</f>
        <v>179421.88</v>
      </c>
      <c r="Z193" s="245">
        <f>Z68*0.02</f>
        <v>222970.88</v>
      </c>
      <c r="AA193" s="245"/>
      <c r="AB193" s="245"/>
      <c r="AC193" s="245"/>
      <c r="AD193" s="245"/>
      <c r="AE193" s="245"/>
      <c r="AF193" s="241">
        <f>SUM(Z193:AE193)</f>
        <v>222970.88</v>
      </c>
      <c r="AH193" s="245">
        <f>AH68*0.011</f>
        <v>250239.61599999998</v>
      </c>
      <c r="AI193" s="245"/>
      <c r="AJ193" s="245"/>
      <c r="AK193" s="245"/>
      <c r="AL193" s="245"/>
      <c r="AM193" s="245"/>
      <c r="AN193" s="241">
        <f>SUM(AH193:AM193)</f>
        <v>250239.61599999998</v>
      </c>
      <c r="AP193" s="245"/>
      <c r="AQ193" s="245"/>
      <c r="AR193" s="245"/>
      <c r="AS193" s="245"/>
      <c r="AT193" s="245"/>
      <c r="AU193" s="245"/>
      <c r="AV193" s="241">
        <f>SUM(AP193:AU193)</f>
        <v>0</v>
      </c>
      <c r="AX193" s="245">
        <f>AX68*0.0275</f>
        <v>36251.599999999999</v>
      </c>
      <c r="AY193" s="245"/>
      <c r="AZ193" s="245"/>
      <c r="BA193" s="245"/>
      <c r="BB193" s="245"/>
      <c r="BC193" s="245"/>
      <c r="BD193" s="241">
        <f>SUM(AX193:BC193)</f>
        <v>36251.599999999999</v>
      </c>
      <c r="BF193" s="282"/>
      <c r="BG193" s="282"/>
      <c r="BH193" s="282"/>
      <c r="BI193" s="282"/>
      <c r="BJ193" s="282"/>
      <c r="BK193" s="282"/>
      <c r="BL193" s="241">
        <f>SUM(BF193:BK193)</f>
        <v>0</v>
      </c>
      <c r="BN193" s="241">
        <f t="shared" si="422"/>
        <v>1242733.0960000001</v>
      </c>
      <c r="BO193" s="241">
        <f t="shared" si="423"/>
        <v>0</v>
      </c>
      <c r="BP193" s="241">
        <f t="shared" si="424"/>
        <v>0</v>
      </c>
      <c r="BQ193" s="241">
        <f t="shared" si="425"/>
        <v>0</v>
      </c>
      <c r="BR193" s="241">
        <f t="shared" si="426"/>
        <v>0</v>
      </c>
      <c r="BS193" s="241">
        <f t="shared" si="427"/>
        <v>0</v>
      </c>
      <c r="BT193" s="241">
        <f>SUM(BN193:BS193)</f>
        <v>1242733.0960000001</v>
      </c>
      <c r="BU193" s="285">
        <f>BT193/BT68</f>
        <v>1.546169165885661E-2</v>
      </c>
      <c r="BV193" s="241">
        <v>1176086.648</v>
      </c>
      <c r="BW193" s="286">
        <f t="shared" si="362"/>
        <v>66646.448000000091</v>
      </c>
    </row>
    <row r="194" spans="1:75" x14ac:dyDescent="0.25">
      <c r="A194" s="213"/>
      <c r="B194" s="258">
        <f>SUM(B174:B193)</f>
        <v>263569.09999999998</v>
      </c>
      <c r="C194" s="258">
        <f t="shared" ref="C194:H194" si="429">SUM(C174:C193)</f>
        <v>0</v>
      </c>
      <c r="D194" s="258">
        <f t="shared" si="429"/>
        <v>211500</v>
      </c>
      <c r="E194" s="258">
        <f t="shared" si="429"/>
        <v>0</v>
      </c>
      <c r="F194" s="258">
        <f t="shared" si="429"/>
        <v>0</v>
      </c>
      <c r="G194" s="258">
        <f t="shared" si="429"/>
        <v>300000</v>
      </c>
      <c r="H194" s="258">
        <f t="shared" si="429"/>
        <v>775069.1</v>
      </c>
      <c r="J194" s="258">
        <f>SUM(J174:J193)</f>
        <v>913592.62</v>
      </c>
      <c r="K194" s="258">
        <f t="shared" ref="K194:P194" si="430">SUM(K174:K193)</f>
        <v>0</v>
      </c>
      <c r="L194" s="258">
        <f t="shared" si="430"/>
        <v>419400</v>
      </c>
      <c r="M194" s="258">
        <f t="shared" si="430"/>
        <v>0</v>
      </c>
      <c r="N194" s="258">
        <f t="shared" si="430"/>
        <v>49770</v>
      </c>
      <c r="O194" s="258">
        <f t="shared" si="430"/>
        <v>1500000</v>
      </c>
      <c r="P194" s="258">
        <f t="shared" si="430"/>
        <v>2882762.62</v>
      </c>
      <c r="R194" s="258">
        <f>SUM(R174:R193)</f>
        <v>370877.38</v>
      </c>
      <c r="S194" s="258">
        <f t="shared" ref="S194:X194" si="431">SUM(S174:S193)</f>
        <v>0</v>
      </c>
      <c r="T194" s="258">
        <f t="shared" si="431"/>
        <v>106920</v>
      </c>
      <c r="U194" s="258">
        <f t="shared" si="431"/>
        <v>0</v>
      </c>
      <c r="V194" s="258">
        <f t="shared" si="431"/>
        <v>0</v>
      </c>
      <c r="W194" s="258">
        <f t="shared" si="431"/>
        <v>850000</v>
      </c>
      <c r="X194" s="258">
        <f t="shared" si="431"/>
        <v>1327797.3799999999</v>
      </c>
      <c r="Z194" s="258">
        <f>SUM(Z174:Z193)</f>
        <v>452331.28</v>
      </c>
      <c r="AA194" s="258">
        <f t="shared" ref="AA194:AF194" si="432">SUM(AA174:AA193)</f>
        <v>0</v>
      </c>
      <c r="AB194" s="258">
        <f t="shared" si="432"/>
        <v>68040</v>
      </c>
      <c r="AC194" s="258">
        <f t="shared" si="432"/>
        <v>0</v>
      </c>
      <c r="AD194" s="258">
        <f t="shared" si="432"/>
        <v>0</v>
      </c>
      <c r="AE194" s="258">
        <f t="shared" si="432"/>
        <v>900000</v>
      </c>
      <c r="AF194" s="258">
        <f t="shared" si="432"/>
        <v>1420371.2799999998</v>
      </c>
      <c r="AH194" s="258">
        <f>SUM(AH174:AH193)</f>
        <v>682889.21600000001</v>
      </c>
      <c r="AI194" s="258">
        <f t="shared" ref="AI194:AN194" si="433">SUM(AI174:AI193)</f>
        <v>0</v>
      </c>
      <c r="AJ194" s="258">
        <f t="shared" si="433"/>
        <v>178200</v>
      </c>
      <c r="AK194" s="258">
        <f t="shared" si="433"/>
        <v>0</v>
      </c>
      <c r="AL194" s="258">
        <f t="shared" si="433"/>
        <v>0</v>
      </c>
      <c r="AM194" s="258">
        <f t="shared" si="433"/>
        <v>2500000</v>
      </c>
      <c r="AN194" s="258">
        <f t="shared" si="433"/>
        <v>3361089.216</v>
      </c>
      <c r="AP194" s="258">
        <f>SUM(AP174:AP193)</f>
        <v>73984.5</v>
      </c>
      <c r="AQ194" s="258">
        <f t="shared" ref="AQ194:AV194" si="434">SUM(AQ174:AQ193)</f>
        <v>0</v>
      </c>
      <c r="AR194" s="258">
        <f t="shared" si="434"/>
        <v>141120</v>
      </c>
      <c r="AS194" s="258">
        <f t="shared" si="434"/>
        <v>0</v>
      </c>
      <c r="AT194" s="258">
        <f t="shared" si="434"/>
        <v>0</v>
      </c>
      <c r="AU194" s="258">
        <f t="shared" si="434"/>
        <v>100000</v>
      </c>
      <c r="AV194" s="258">
        <f t="shared" si="434"/>
        <v>315104.5</v>
      </c>
      <c r="AX194" s="258">
        <f>SUM(AX174:AX193)</f>
        <v>83610.600000000006</v>
      </c>
      <c r="AY194" s="258">
        <f t="shared" ref="AY194:BD194" si="435">SUM(AY174:AY193)</f>
        <v>0</v>
      </c>
      <c r="AZ194" s="258">
        <f t="shared" si="435"/>
        <v>0</v>
      </c>
      <c r="BA194" s="258">
        <f t="shared" si="435"/>
        <v>0</v>
      </c>
      <c r="BB194" s="258">
        <f t="shared" si="435"/>
        <v>0</v>
      </c>
      <c r="BC194" s="258">
        <f t="shared" si="435"/>
        <v>25000</v>
      </c>
      <c r="BD194" s="258">
        <f t="shared" si="435"/>
        <v>108610.6</v>
      </c>
      <c r="BF194" s="258">
        <f>SUM(BF174:BF193)</f>
        <v>25500</v>
      </c>
      <c r="BG194" s="258">
        <f t="shared" ref="BG194:BL194" si="436">SUM(BG174:BG193)</f>
        <v>0</v>
      </c>
      <c r="BH194" s="258">
        <f t="shared" si="436"/>
        <v>0</v>
      </c>
      <c r="BI194" s="258">
        <f t="shared" si="436"/>
        <v>0</v>
      </c>
      <c r="BJ194" s="258">
        <f t="shared" si="436"/>
        <v>337427</v>
      </c>
      <c r="BK194" s="258">
        <f t="shared" si="436"/>
        <v>0</v>
      </c>
      <c r="BL194" s="258">
        <f t="shared" si="436"/>
        <v>362927</v>
      </c>
      <c r="BN194" s="258">
        <f>SUM(BN174:BN193)</f>
        <v>2866354.6960000005</v>
      </c>
      <c r="BO194" s="258">
        <f t="shared" ref="BO194:BT194" si="437">SUM(BO174:BO193)</f>
        <v>0</v>
      </c>
      <c r="BP194" s="258">
        <f t="shared" si="437"/>
        <v>1125180</v>
      </c>
      <c r="BQ194" s="258">
        <f t="shared" si="437"/>
        <v>0</v>
      </c>
      <c r="BR194" s="258">
        <f t="shared" si="437"/>
        <v>387197</v>
      </c>
      <c r="BS194" s="258">
        <f t="shared" si="437"/>
        <v>6175000</v>
      </c>
      <c r="BT194" s="258">
        <f t="shared" si="437"/>
        <v>10553731.696</v>
      </c>
      <c r="BV194" s="258">
        <v>10535951.597999999</v>
      </c>
      <c r="BW194" s="286">
        <f t="shared" si="362"/>
        <v>17780.098000001162</v>
      </c>
    </row>
    <row r="195" spans="1:75" x14ac:dyDescent="0.25">
      <c r="B195" s="259"/>
      <c r="C195" s="259"/>
      <c r="D195" s="259"/>
      <c r="E195" s="259"/>
      <c r="F195" s="259"/>
      <c r="G195" s="259"/>
      <c r="H195" s="259"/>
      <c r="J195" s="259"/>
      <c r="K195" s="259"/>
      <c r="L195" s="259"/>
      <c r="M195" s="259"/>
      <c r="N195" s="259"/>
      <c r="O195" s="259"/>
      <c r="P195" s="259"/>
      <c r="R195" s="259"/>
      <c r="S195" s="259"/>
      <c r="T195" s="259"/>
      <c r="U195" s="259"/>
      <c r="V195" s="259"/>
      <c r="W195" s="259"/>
      <c r="X195" s="259"/>
      <c r="Z195" s="259"/>
      <c r="AA195" s="259"/>
      <c r="AB195" s="259"/>
      <c r="AC195" s="259"/>
      <c r="AD195" s="259"/>
      <c r="AE195" s="259"/>
      <c r="AF195" s="259"/>
      <c r="AH195" s="259"/>
      <c r="AI195" s="259"/>
      <c r="AJ195" s="259"/>
      <c r="AK195" s="259"/>
      <c r="AL195" s="259"/>
      <c r="AM195" s="259"/>
      <c r="AN195" s="259"/>
      <c r="AP195" s="259"/>
      <c r="AQ195" s="259"/>
      <c r="AR195" s="259"/>
      <c r="AS195" s="259"/>
      <c r="AT195" s="259"/>
      <c r="AU195" s="259"/>
      <c r="AV195" s="259"/>
      <c r="AX195" s="259"/>
      <c r="AY195" s="259"/>
      <c r="AZ195" s="259"/>
      <c r="BA195" s="259"/>
      <c r="BB195" s="259"/>
      <c r="BC195" s="259"/>
      <c r="BD195" s="259"/>
      <c r="BF195" s="259"/>
      <c r="BG195" s="259"/>
      <c r="BH195" s="259"/>
      <c r="BI195" s="259"/>
      <c r="BJ195" s="259"/>
      <c r="BK195" s="259"/>
      <c r="BL195" s="259"/>
      <c r="BN195" s="259"/>
      <c r="BO195" s="259"/>
      <c r="BP195" s="259"/>
      <c r="BQ195" s="259"/>
      <c r="BR195" s="259"/>
      <c r="BS195" s="259"/>
      <c r="BT195" s="259"/>
      <c r="BV195" s="259"/>
      <c r="BW195" s="286">
        <f t="shared" si="362"/>
        <v>0</v>
      </c>
    </row>
    <row r="196" spans="1:75" x14ac:dyDescent="0.25">
      <c r="A196" s="208" t="s">
        <v>337</v>
      </c>
      <c r="B196" s="260" t="s">
        <v>309</v>
      </c>
      <c r="C196" s="260" t="s">
        <v>310</v>
      </c>
      <c r="D196" s="260" t="s">
        <v>311</v>
      </c>
      <c r="E196" s="260" t="str">
        <f>E173</f>
        <v>Other</v>
      </c>
      <c r="F196" s="260" t="s">
        <v>315</v>
      </c>
      <c r="G196" s="260" t="s">
        <v>314</v>
      </c>
      <c r="H196" s="260" t="s">
        <v>320</v>
      </c>
      <c r="J196" s="260" t="s">
        <v>309</v>
      </c>
      <c r="K196" s="260" t="s">
        <v>310</v>
      </c>
      <c r="L196" s="260" t="s">
        <v>311</v>
      </c>
      <c r="M196" s="260" t="str">
        <f>M173</f>
        <v>Other</v>
      </c>
      <c r="N196" s="260" t="s">
        <v>315</v>
      </c>
      <c r="O196" s="260" t="s">
        <v>314</v>
      </c>
      <c r="P196" s="260" t="str">
        <f>P173</f>
        <v>Cadence</v>
      </c>
      <c r="R196" s="260" t="s">
        <v>309</v>
      </c>
      <c r="S196" s="260" t="s">
        <v>310</v>
      </c>
      <c r="T196" s="260" t="s">
        <v>311</v>
      </c>
      <c r="U196" s="260" t="str">
        <f>U173</f>
        <v>Other</v>
      </c>
      <c r="V196" s="260" t="s">
        <v>315</v>
      </c>
      <c r="W196" s="260" t="s">
        <v>314</v>
      </c>
      <c r="X196" s="260" t="str">
        <f>X173</f>
        <v>St. Rose</v>
      </c>
      <c r="Z196" s="260" t="s">
        <v>309</v>
      </c>
      <c r="AA196" s="260" t="s">
        <v>310</v>
      </c>
      <c r="AB196" s="260" t="s">
        <v>311</v>
      </c>
      <c r="AC196" s="260" t="str">
        <f>AC173</f>
        <v>Other</v>
      </c>
      <c r="AD196" s="260" t="s">
        <v>315</v>
      </c>
      <c r="AE196" s="260" t="s">
        <v>314</v>
      </c>
      <c r="AF196" s="260" t="str">
        <f>AF173</f>
        <v>Inspirada</v>
      </c>
      <c r="AH196" s="260" t="s">
        <v>309</v>
      </c>
      <c r="AI196" s="260" t="s">
        <v>310</v>
      </c>
      <c r="AJ196" s="260" t="s">
        <v>311</v>
      </c>
      <c r="AK196" s="260" t="str">
        <f>AK173</f>
        <v>Other</v>
      </c>
      <c r="AL196" s="260" t="s">
        <v>315</v>
      </c>
      <c r="AM196" s="260" t="s">
        <v>314</v>
      </c>
      <c r="AN196" s="260" t="str">
        <f>AN173</f>
        <v>Sloan</v>
      </c>
      <c r="AP196" s="260" t="s">
        <v>309</v>
      </c>
      <c r="AQ196" s="260" t="s">
        <v>310</v>
      </c>
      <c r="AR196" s="260" t="s">
        <v>311</v>
      </c>
      <c r="AS196" s="260" t="str">
        <f>AS173</f>
        <v>Other</v>
      </c>
      <c r="AT196" s="260" t="s">
        <v>315</v>
      </c>
      <c r="AU196" s="260" t="s">
        <v>314</v>
      </c>
      <c r="AV196" s="260" t="str">
        <f>AV173</f>
        <v>Springs</v>
      </c>
      <c r="AX196" s="260" t="s">
        <v>309</v>
      </c>
      <c r="AY196" s="260" t="s">
        <v>310</v>
      </c>
      <c r="AZ196" s="260" t="s">
        <v>311</v>
      </c>
      <c r="BA196" s="260" t="str">
        <f>BA173</f>
        <v>Other</v>
      </c>
      <c r="BB196" s="260" t="s">
        <v>315</v>
      </c>
      <c r="BC196" s="260" t="s">
        <v>314</v>
      </c>
      <c r="BD196" s="260" t="str">
        <f>BD173</f>
        <v>Virtual</v>
      </c>
      <c r="BF196" s="260" t="s">
        <v>309</v>
      </c>
      <c r="BG196" s="260" t="s">
        <v>310</v>
      </c>
      <c r="BH196" s="260" t="s">
        <v>311</v>
      </c>
      <c r="BI196" s="260" t="str">
        <f>BI173</f>
        <v>Other</v>
      </c>
      <c r="BJ196" s="260" t="s">
        <v>315</v>
      </c>
      <c r="BK196" s="260" t="s">
        <v>314</v>
      </c>
      <c r="BL196" s="260" t="str">
        <f>BL173</f>
        <v>Central</v>
      </c>
      <c r="BN196" s="260" t="s">
        <v>309</v>
      </c>
      <c r="BO196" s="260" t="s">
        <v>310</v>
      </c>
      <c r="BP196" s="260" t="s">
        <v>311</v>
      </c>
      <c r="BQ196" s="260" t="str">
        <f>BQ173</f>
        <v>Other</v>
      </c>
      <c r="BR196" s="260" t="s">
        <v>315</v>
      </c>
      <c r="BS196" s="260" t="s">
        <v>314</v>
      </c>
      <c r="BT196" s="260" t="str">
        <f>BT173</f>
        <v>System</v>
      </c>
      <c r="BV196" s="260" t="s">
        <v>320</v>
      </c>
      <c r="BW196" s="286" t="e">
        <f t="shared" si="362"/>
        <v>#VALUE!</v>
      </c>
    </row>
    <row r="197" spans="1:75" x14ac:dyDescent="0.25">
      <c r="A197" s="214" t="s">
        <v>294</v>
      </c>
      <c r="B197" s="241">
        <v>115000</v>
      </c>
      <c r="C197" s="257"/>
      <c r="D197" s="257"/>
      <c r="E197" s="257"/>
      <c r="F197" s="257"/>
      <c r="G197" s="257"/>
      <c r="H197" s="241">
        <f>SUM(B197:G197)</f>
        <v>115000</v>
      </c>
      <c r="J197" s="241">
        <v>275000</v>
      </c>
      <c r="K197" s="257"/>
      <c r="L197" s="257"/>
      <c r="M197" s="257"/>
      <c r="N197" s="257"/>
      <c r="O197" s="257"/>
      <c r="P197" s="241">
        <f>SUM(J197:O197)</f>
        <v>275000</v>
      </c>
      <c r="R197" s="241">
        <v>95000</v>
      </c>
      <c r="S197" s="257"/>
      <c r="T197" s="257"/>
      <c r="U197" s="257"/>
      <c r="V197" s="257"/>
      <c r="W197" s="257"/>
      <c r="X197" s="241">
        <f>SUM(R197:W197)</f>
        <v>95000</v>
      </c>
      <c r="Z197" s="241">
        <v>120000</v>
      </c>
      <c r="AA197" s="257"/>
      <c r="AB197" s="257"/>
      <c r="AC197" s="257"/>
      <c r="AD197" s="257"/>
      <c r="AE197" s="257"/>
      <c r="AF197" s="241">
        <f>SUM(Z197:AE197)</f>
        <v>120000</v>
      </c>
      <c r="AH197" s="241">
        <v>275000</v>
      </c>
      <c r="AI197" s="257"/>
      <c r="AJ197" s="257"/>
      <c r="AK197" s="257"/>
      <c r="AL197" s="257"/>
      <c r="AM197" s="257"/>
      <c r="AN197" s="241">
        <f>SUM(AH197:AM197)</f>
        <v>275000</v>
      </c>
      <c r="AP197" s="241">
        <v>10000</v>
      </c>
      <c r="AQ197" s="257"/>
      <c r="AR197" s="257"/>
      <c r="AS197" s="257"/>
      <c r="AT197" s="257"/>
      <c r="AU197" s="257"/>
      <c r="AV197" s="241">
        <f>SUM(AP197:AU197)</f>
        <v>10000</v>
      </c>
      <c r="AX197" s="241"/>
      <c r="AY197" s="257"/>
      <c r="AZ197" s="257"/>
      <c r="BA197" s="257"/>
      <c r="BB197" s="257"/>
      <c r="BC197" s="257"/>
      <c r="BD197" s="241">
        <f>SUM(AX197:BC197)</f>
        <v>0</v>
      </c>
      <c r="BF197" s="241"/>
      <c r="BG197" s="257"/>
      <c r="BH197" s="257"/>
      <c r="BI197" s="257"/>
      <c r="BJ197" s="257"/>
      <c r="BK197" s="257"/>
      <c r="BL197" s="241">
        <f>SUM(BF197:BK197)</f>
        <v>0</v>
      </c>
      <c r="BN197" s="241">
        <f>B197+J197+R197+Z197+AH197+AP197+AX197+BF197</f>
        <v>890000</v>
      </c>
      <c r="BO197" s="241">
        <f t="shared" ref="BO197:BS197" si="438">C197+K197+S197+AA197+AI197+AQ197+AY197+BG197</f>
        <v>0</v>
      </c>
      <c r="BP197" s="241">
        <f t="shared" si="438"/>
        <v>0</v>
      </c>
      <c r="BQ197" s="241">
        <f t="shared" si="438"/>
        <v>0</v>
      </c>
      <c r="BR197" s="241">
        <f t="shared" si="438"/>
        <v>0</v>
      </c>
      <c r="BS197" s="241">
        <f t="shared" si="438"/>
        <v>0</v>
      </c>
      <c r="BT197" s="241">
        <f>SUM(BN197:BS197)</f>
        <v>890000</v>
      </c>
      <c r="BV197" s="241">
        <v>890000</v>
      </c>
      <c r="BW197" s="286">
        <f t="shared" si="362"/>
        <v>0</v>
      </c>
    </row>
    <row r="198" spans="1:75" x14ac:dyDescent="0.25">
      <c r="A198" s="211" t="s">
        <v>295</v>
      </c>
      <c r="B198" s="241">
        <v>8000</v>
      </c>
      <c r="C198" s="244"/>
      <c r="D198" s="244"/>
      <c r="E198" s="244"/>
      <c r="F198" s="244"/>
      <c r="G198" s="244"/>
      <c r="H198" s="241">
        <f t="shared" ref="H198:H206" si="439">SUM(B198:G198)</f>
        <v>8000</v>
      </c>
      <c r="J198" s="241">
        <v>0</v>
      </c>
      <c r="K198" s="244"/>
      <c r="L198" s="244"/>
      <c r="M198" s="244"/>
      <c r="N198" s="244"/>
      <c r="O198" s="244"/>
      <c r="P198" s="241">
        <f t="shared" ref="P198:P206" si="440">SUM(J198:O198)</f>
        <v>0</v>
      </c>
      <c r="R198" s="241">
        <v>0</v>
      </c>
      <c r="S198" s="244"/>
      <c r="T198" s="244"/>
      <c r="U198" s="244"/>
      <c r="V198" s="244"/>
      <c r="W198" s="244"/>
      <c r="X198" s="241">
        <f t="shared" ref="X198:X206" si="441">SUM(R198:W198)</f>
        <v>0</v>
      </c>
      <c r="Z198" s="241">
        <v>0</v>
      </c>
      <c r="AA198" s="244"/>
      <c r="AB198" s="244"/>
      <c r="AC198" s="244"/>
      <c r="AD198" s="244"/>
      <c r="AE198" s="244"/>
      <c r="AF198" s="241">
        <f t="shared" ref="AF198:AF206" si="442">SUM(Z198:AE198)</f>
        <v>0</v>
      </c>
      <c r="AH198" s="241">
        <v>0</v>
      </c>
      <c r="AI198" s="244"/>
      <c r="AJ198" s="244"/>
      <c r="AK198" s="244"/>
      <c r="AL198" s="244"/>
      <c r="AM198" s="244"/>
      <c r="AN198" s="241">
        <f t="shared" ref="AN198:AN206" si="443">SUM(AH198:AM198)</f>
        <v>0</v>
      </c>
      <c r="AP198" s="241">
        <v>1200</v>
      </c>
      <c r="AQ198" s="244"/>
      <c r="AR198" s="244"/>
      <c r="AS198" s="244"/>
      <c r="AT198" s="244"/>
      <c r="AU198" s="244"/>
      <c r="AV198" s="241">
        <f t="shared" ref="AV198:AV206" si="444">SUM(AP198:AU198)</f>
        <v>1200</v>
      </c>
      <c r="AX198" s="241"/>
      <c r="AY198" s="244"/>
      <c r="AZ198" s="244"/>
      <c r="BA198" s="244"/>
      <c r="BB198" s="244"/>
      <c r="BC198" s="244"/>
      <c r="BD198" s="241">
        <f t="shared" ref="BD198:BD206" si="445">SUM(AX198:BC198)</f>
        <v>0</v>
      </c>
      <c r="BF198" s="241"/>
      <c r="BG198" s="244"/>
      <c r="BH198" s="244"/>
      <c r="BI198" s="244"/>
      <c r="BJ198" s="244"/>
      <c r="BK198" s="244"/>
      <c r="BL198" s="241">
        <f t="shared" ref="BL198:BL206" si="446">SUM(BF198:BK198)</f>
        <v>0</v>
      </c>
      <c r="BN198" s="241">
        <f t="shared" ref="BN198:BN206" si="447">B198+J198+R198+Z198+AH198+AP198+AX198+BF198</f>
        <v>9200</v>
      </c>
      <c r="BO198" s="241">
        <f t="shared" ref="BO198:BO206" si="448">C198+K198+S198+AA198+AI198+AQ198+AY198+BG198</f>
        <v>0</v>
      </c>
      <c r="BP198" s="241">
        <f t="shared" ref="BP198:BP206" si="449">D198+L198+T198+AB198+AJ198+AR198+AZ198+BH198</f>
        <v>0</v>
      </c>
      <c r="BQ198" s="241">
        <f t="shared" ref="BQ198:BQ206" si="450">E198+M198+U198+AC198+AK198+AS198+BA198+BI198</f>
        <v>0</v>
      </c>
      <c r="BR198" s="241">
        <f t="shared" ref="BR198:BR206" si="451">F198+N198+V198+AD198+AL198+AT198+BB198+BJ198</f>
        <v>0</v>
      </c>
      <c r="BS198" s="241">
        <f t="shared" ref="BS198:BS206" si="452">G198+O198+W198+AE198+AM198+AU198+BC198+BK198</f>
        <v>0</v>
      </c>
      <c r="BT198" s="241">
        <f t="shared" ref="BT198:BT206" si="453">SUM(BN198:BS198)</f>
        <v>9200</v>
      </c>
      <c r="BV198" s="241">
        <v>9200</v>
      </c>
      <c r="BW198" s="286">
        <f t="shared" si="362"/>
        <v>0</v>
      </c>
    </row>
    <row r="199" spans="1:75" x14ac:dyDescent="0.25">
      <c r="A199" s="211" t="s">
        <v>296</v>
      </c>
      <c r="B199" s="241">
        <v>32500</v>
      </c>
      <c r="C199" s="244"/>
      <c r="D199" s="244"/>
      <c r="E199" s="244"/>
      <c r="F199" s="244"/>
      <c r="G199" s="244"/>
      <c r="H199" s="241">
        <f t="shared" si="439"/>
        <v>32500</v>
      </c>
      <c r="J199" s="241">
        <v>50000</v>
      </c>
      <c r="K199" s="244"/>
      <c r="L199" s="244"/>
      <c r="M199" s="244"/>
      <c r="N199" s="244"/>
      <c r="O199" s="244"/>
      <c r="P199" s="241">
        <f t="shared" si="440"/>
        <v>50000</v>
      </c>
      <c r="R199" s="241">
        <f>(8400*4)+(1500*8)</f>
        <v>45600</v>
      </c>
      <c r="S199" s="244"/>
      <c r="T199" s="244"/>
      <c r="U199" s="244"/>
      <c r="V199" s="244"/>
      <c r="W199" s="244"/>
      <c r="X199" s="241">
        <f t="shared" si="441"/>
        <v>45600</v>
      </c>
      <c r="Z199" s="241">
        <v>20000</v>
      </c>
      <c r="AA199" s="244"/>
      <c r="AB199" s="244"/>
      <c r="AC199" s="244"/>
      <c r="AD199" s="244"/>
      <c r="AE199" s="244"/>
      <c r="AF199" s="241">
        <f t="shared" si="442"/>
        <v>20000</v>
      </c>
      <c r="AH199" s="241">
        <v>40000</v>
      </c>
      <c r="AI199" s="244"/>
      <c r="AJ199" s="244"/>
      <c r="AK199" s="244"/>
      <c r="AL199" s="244"/>
      <c r="AM199" s="244"/>
      <c r="AN199" s="241">
        <f t="shared" si="443"/>
        <v>40000</v>
      </c>
      <c r="AP199" s="241">
        <v>17000</v>
      </c>
      <c r="AQ199" s="244"/>
      <c r="AR199" s="244"/>
      <c r="AS199" s="244"/>
      <c r="AT199" s="244"/>
      <c r="AU199" s="244"/>
      <c r="AV199" s="241">
        <f t="shared" si="444"/>
        <v>17000</v>
      </c>
      <c r="AX199" s="241"/>
      <c r="AY199" s="244"/>
      <c r="AZ199" s="244"/>
      <c r="BA199" s="244"/>
      <c r="BB199" s="244"/>
      <c r="BC199" s="244"/>
      <c r="BD199" s="241">
        <f t="shared" si="445"/>
        <v>0</v>
      </c>
      <c r="BF199" s="241"/>
      <c r="BG199" s="244"/>
      <c r="BH199" s="244"/>
      <c r="BI199" s="244"/>
      <c r="BJ199" s="244"/>
      <c r="BK199" s="244"/>
      <c r="BL199" s="241">
        <f t="shared" si="446"/>
        <v>0</v>
      </c>
      <c r="BN199" s="241">
        <f t="shared" si="447"/>
        <v>205100</v>
      </c>
      <c r="BO199" s="241">
        <f t="shared" si="448"/>
        <v>0</v>
      </c>
      <c r="BP199" s="241">
        <f t="shared" si="449"/>
        <v>0</v>
      </c>
      <c r="BQ199" s="241">
        <f t="shared" si="450"/>
        <v>0</v>
      </c>
      <c r="BR199" s="241">
        <f t="shared" si="451"/>
        <v>0</v>
      </c>
      <c r="BS199" s="241">
        <f t="shared" si="452"/>
        <v>0</v>
      </c>
      <c r="BT199" s="241">
        <f t="shared" si="453"/>
        <v>205100</v>
      </c>
      <c r="BV199" s="241">
        <v>205100</v>
      </c>
      <c r="BW199" s="286">
        <f t="shared" si="362"/>
        <v>0</v>
      </c>
    </row>
    <row r="200" spans="1:75" x14ac:dyDescent="0.25">
      <c r="A200" s="211" t="s">
        <v>297</v>
      </c>
      <c r="B200" s="241">
        <v>24000</v>
      </c>
      <c r="C200" s="244"/>
      <c r="D200" s="244"/>
      <c r="E200" s="244"/>
      <c r="F200" s="244"/>
      <c r="G200" s="244"/>
      <c r="H200" s="241">
        <f t="shared" si="439"/>
        <v>24000</v>
      </c>
      <c r="J200" s="241">
        <v>65000</v>
      </c>
      <c r="K200" s="244"/>
      <c r="L200" s="244"/>
      <c r="M200" s="244"/>
      <c r="N200" s="244"/>
      <c r="O200" s="244"/>
      <c r="P200" s="241">
        <f t="shared" si="440"/>
        <v>65000</v>
      </c>
      <c r="R200" s="241">
        <v>19000</v>
      </c>
      <c r="S200" s="244"/>
      <c r="T200" s="244"/>
      <c r="U200" s="244"/>
      <c r="V200" s="244"/>
      <c r="W200" s="244"/>
      <c r="X200" s="241">
        <f t="shared" si="441"/>
        <v>19000</v>
      </c>
      <c r="Z200" s="241">
        <v>33000</v>
      </c>
      <c r="AA200" s="244"/>
      <c r="AB200" s="244"/>
      <c r="AC200" s="244"/>
      <c r="AD200" s="244"/>
      <c r="AE200" s="244"/>
      <c r="AF200" s="241">
        <f t="shared" si="442"/>
        <v>33000</v>
      </c>
      <c r="AH200" s="241">
        <v>62500</v>
      </c>
      <c r="AI200" s="244"/>
      <c r="AJ200" s="244"/>
      <c r="AK200" s="244"/>
      <c r="AL200" s="244"/>
      <c r="AM200" s="244"/>
      <c r="AN200" s="241">
        <f t="shared" si="443"/>
        <v>62500</v>
      </c>
      <c r="AP200" s="241">
        <v>7500</v>
      </c>
      <c r="AQ200" s="244"/>
      <c r="AR200" s="244"/>
      <c r="AS200" s="244"/>
      <c r="AT200" s="244"/>
      <c r="AU200" s="244"/>
      <c r="AV200" s="241">
        <f t="shared" si="444"/>
        <v>7500</v>
      </c>
      <c r="AX200" s="241"/>
      <c r="AY200" s="244"/>
      <c r="AZ200" s="244"/>
      <c r="BA200" s="244"/>
      <c r="BB200" s="244"/>
      <c r="BC200" s="244"/>
      <c r="BD200" s="241">
        <f t="shared" si="445"/>
        <v>0</v>
      </c>
      <c r="BF200" s="241"/>
      <c r="BG200" s="244"/>
      <c r="BH200" s="244"/>
      <c r="BI200" s="244"/>
      <c r="BJ200" s="244"/>
      <c r="BK200" s="244"/>
      <c r="BL200" s="241">
        <f t="shared" si="446"/>
        <v>0</v>
      </c>
      <c r="BN200" s="241">
        <f t="shared" si="447"/>
        <v>211000</v>
      </c>
      <c r="BO200" s="241">
        <f t="shared" si="448"/>
        <v>0</v>
      </c>
      <c r="BP200" s="241">
        <f t="shared" si="449"/>
        <v>0</v>
      </c>
      <c r="BQ200" s="241">
        <f t="shared" si="450"/>
        <v>0</v>
      </c>
      <c r="BR200" s="241">
        <f t="shared" si="451"/>
        <v>0</v>
      </c>
      <c r="BS200" s="241">
        <f t="shared" si="452"/>
        <v>0</v>
      </c>
      <c r="BT200" s="241">
        <f t="shared" si="453"/>
        <v>211000</v>
      </c>
      <c r="BV200" s="241">
        <v>211000</v>
      </c>
      <c r="BW200" s="286">
        <f t="shared" si="362"/>
        <v>0</v>
      </c>
    </row>
    <row r="201" spans="1:75" x14ac:dyDescent="0.25">
      <c r="A201" s="211" t="s">
        <v>298</v>
      </c>
      <c r="B201" s="241">
        <v>12500</v>
      </c>
      <c r="C201" s="244"/>
      <c r="D201" s="244"/>
      <c r="E201" s="244"/>
      <c r="F201" s="244"/>
      <c r="G201" s="244"/>
      <c r="H201" s="241">
        <f t="shared" si="439"/>
        <v>12500</v>
      </c>
      <c r="J201" s="241">
        <v>33000</v>
      </c>
      <c r="K201" s="244"/>
      <c r="L201" s="244"/>
      <c r="M201" s="244"/>
      <c r="N201" s="244"/>
      <c r="O201" s="244"/>
      <c r="P201" s="241">
        <f t="shared" si="440"/>
        <v>33000</v>
      </c>
      <c r="R201" s="241">
        <v>8500</v>
      </c>
      <c r="S201" s="244"/>
      <c r="T201" s="244"/>
      <c r="U201" s="244"/>
      <c r="V201" s="244"/>
      <c r="W201" s="244"/>
      <c r="X201" s="241">
        <f t="shared" si="441"/>
        <v>8500</v>
      </c>
      <c r="Z201" s="241">
        <v>15000</v>
      </c>
      <c r="AA201" s="244"/>
      <c r="AB201" s="244"/>
      <c r="AC201" s="244"/>
      <c r="AD201" s="244"/>
      <c r="AE201" s="244"/>
      <c r="AF201" s="241">
        <f t="shared" si="442"/>
        <v>15000</v>
      </c>
      <c r="AH201" s="241">
        <v>16000</v>
      </c>
      <c r="AI201" s="244"/>
      <c r="AJ201" s="244"/>
      <c r="AK201" s="244"/>
      <c r="AL201" s="244"/>
      <c r="AM201" s="244"/>
      <c r="AN201" s="241">
        <f t="shared" si="443"/>
        <v>16000</v>
      </c>
      <c r="AP201" s="241">
        <v>7500</v>
      </c>
      <c r="AQ201" s="244"/>
      <c r="AR201" s="244"/>
      <c r="AS201" s="244"/>
      <c r="AT201" s="244"/>
      <c r="AU201" s="244"/>
      <c r="AV201" s="241">
        <f t="shared" si="444"/>
        <v>7500</v>
      </c>
      <c r="AX201" s="241"/>
      <c r="AY201" s="244"/>
      <c r="AZ201" s="244"/>
      <c r="BA201" s="244"/>
      <c r="BB201" s="244"/>
      <c r="BC201" s="244"/>
      <c r="BD201" s="241">
        <f t="shared" si="445"/>
        <v>0</v>
      </c>
      <c r="BF201" s="241"/>
      <c r="BG201" s="244"/>
      <c r="BH201" s="244"/>
      <c r="BI201" s="244"/>
      <c r="BJ201" s="244"/>
      <c r="BK201" s="244"/>
      <c r="BL201" s="241">
        <f t="shared" si="446"/>
        <v>0</v>
      </c>
      <c r="BN201" s="241">
        <f t="shared" si="447"/>
        <v>92500</v>
      </c>
      <c r="BO201" s="241">
        <f t="shared" si="448"/>
        <v>0</v>
      </c>
      <c r="BP201" s="241">
        <f t="shared" si="449"/>
        <v>0</v>
      </c>
      <c r="BQ201" s="241">
        <f t="shared" si="450"/>
        <v>0</v>
      </c>
      <c r="BR201" s="241">
        <f t="shared" si="451"/>
        <v>0</v>
      </c>
      <c r="BS201" s="241">
        <f t="shared" si="452"/>
        <v>0</v>
      </c>
      <c r="BT201" s="241">
        <f t="shared" si="453"/>
        <v>92500</v>
      </c>
      <c r="BV201" s="241">
        <v>92500</v>
      </c>
      <c r="BW201" s="286">
        <f t="shared" si="362"/>
        <v>0</v>
      </c>
    </row>
    <row r="202" spans="1:75" x14ac:dyDescent="0.25">
      <c r="A202" s="211" t="s">
        <v>299</v>
      </c>
      <c r="B202" s="241">
        <f>9235*13</f>
        <v>120055</v>
      </c>
      <c r="C202" s="244"/>
      <c r="D202" s="244"/>
      <c r="E202" s="244"/>
      <c r="F202" s="244"/>
      <c r="G202" s="244"/>
      <c r="H202" s="241">
        <f t="shared" si="439"/>
        <v>120055</v>
      </c>
      <c r="J202" s="241">
        <f>(19825*13)+12500+15500</f>
        <v>285725</v>
      </c>
      <c r="K202" s="244"/>
      <c r="L202" s="244"/>
      <c r="M202" s="244"/>
      <c r="N202" s="244"/>
      <c r="O202" s="244"/>
      <c r="P202" s="241">
        <f t="shared" si="440"/>
        <v>285725</v>
      </c>
      <c r="R202" s="241">
        <f>7770*13</f>
        <v>101010</v>
      </c>
      <c r="S202" s="244"/>
      <c r="T202" s="244"/>
      <c r="U202" s="244"/>
      <c r="V202" s="244"/>
      <c r="W202" s="244"/>
      <c r="X202" s="241">
        <f t="shared" si="441"/>
        <v>101010</v>
      </c>
      <c r="Z202" s="241">
        <f>8950*13</f>
        <v>116350</v>
      </c>
      <c r="AA202" s="244"/>
      <c r="AB202" s="244"/>
      <c r="AC202" s="244"/>
      <c r="AD202" s="244"/>
      <c r="AE202" s="244"/>
      <c r="AF202" s="241">
        <f t="shared" si="442"/>
        <v>116350</v>
      </c>
      <c r="AH202" s="241">
        <f>(37000*13)+12500</f>
        <v>493500</v>
      </c>
      <c r="AI202" s="244"/>
      <c r="AJ202" s="244"/>
      <c r="AK202" s="244"/>
      <c r="AL202" s="244"/>
      <c r="AM202" s="244"/>
      <c r="AN202" s="241">
        <f t="shared" si="443"/>
        <v>493500</v>
      </c>
      <c r="AP202" s="241">
        <f>4200*13</f>
        <v>54600</v>
      </c>
      <c r="AQ202" s="244"/>
      <c r="AR202" s="244"/>
      <c r="AS202" s="244"/>
      <c r="AT202" s="244"/>
      <c r="AU202" s="244"/>
      <c r="AV202" s="241">
        <f t="shared" si="444"/>
        <v>54600</v>
      </c>
      <c r="AX202" s="241"/>
      <c r="AY202" s="244"/>
      <c r="AZ202" s="244"/>
      <c r="BA202" s="244"/>
      <c r="BB202" s="244"/>
      <c r="BC202" s="244"/>
      <c r="BD202" s="241">
        <f t="shared" si="445"/>
        <v>0</v>
      </c>
      <c r="BF202" s="241"/>
      <c r="BG202" s="244"/>
      <c r="BH202" s="244"/>
      <c r="BI202" s="244"/>
      <c r="BJ202" s="244"/>
      <c r="BK202" s="244"/>
      <c r="BL202" s="241">
        <f t="shared" si="446"/>
        <v>0</v>
      </c>
      <c r="BN202" s="241">
        <f t="shared" si="447"/>
        <v>1171240</v>
      </c>
      <c r="BO202" s="241">
        <f t="shared" si="448"/>
        <v>0</v>
      </c>
      <c r="BP202" s="241">
        <f t="shared" si="449"/>
        <v>0</v>
      </c>
      <c r="BQ202" s="241">
        <f t="shared" si="450"/>
        <v>0</v>
      </c>
      <c r="BR202" s="241">
        <f t="shared" si="451"/>
        <v>0</v>
      </c>
      <c r="BS202" s="241">
        <f t="shared" si="452"/>
        <v>0</v>
      </c>
      <c r="BT202" s="241">
        <f t="shared" si="453"/>
        <v>1171240</v>
      </c>
      <c r="BV202" s="241">
        <v>1171240</v>
      </c>
      <c r="BW202" s="286">
        <f t="shared" si="362"/>
        <v>0</v>
      </c>
    </row>
    <row r="203" spans="1:75" x14ac:dyDescent="0.25">
      <c r="A203" s="211" t="s">
        <v>300</v>
      </c>
      <c r="B203" s="241">
        <v>100000</v>
      </c>
      <c r="C203" s="244"/>
      <c r="D203" s="244"/>
      <c r="E203" s="244"/>
      <c r="F203" s="244"/>
      <c r="G203" s="244"/>
      <c r="H203" s="241">
        <f t="shared" si="439"/>
        <v>100000</v>
      </c>
      <c r="J203" s="241">
        <v>225000</v>
      </c>
      <c r="K203" s="244"/>
      <c r="L203" s="244"/>
      <c r="M203" s="244"/>
      <c r="N203" s="244"/>
      <c r="O203" s="244"/>
      <c r="P203" s="241">
        <f t="shared" si="440"/>
        <v>225000</v>
      </c>
      <c r="R203" s="241">
        <v>105000</v>
      </c>
      <c r="S203" s="244"/>
      <c r="T203" s="244"/>
      <c r="U203" s="244"/>
      <c r="V203" s="244"/>
      <c r="W203" s="244"/>
      <c r="X203" s="241">
        <f t="shared" si="441"/>
        <v>105000</v>
      </c>
      <c r="Z203" s="241">
        <v>150000</v>
      </c>
      <c r="AA203" s="244"/>
      <c r="AB203" s="244"/>
      <c r="AC203" s="244"/>
      <c r="AD203" s="244"/>
      <c r="AE203" s="244"/>
      <c r="AF203" s="241">
        <f t="shared" si="442"/>
        <v>150000</v>
      </c>
      <c r="AH203" s="241">
        <v>165000</v>
      </c>
      <c r="AI203" s="244"/>
      <c r="AJ203" s="244"/>
      <c r="AK203" s="244">
        <v>1000000</v>
      </c>
      <c r="AL203" s="244"/>
      <c r="AM203" s="244"/>
      <c r="AN203" s="241">
        <f t="shared" si="443"/>
        <v>1165000</v>
      </c>
      <c r="AP203" s="241">
        <v>50000</v>
      </c>
      <c r="AQ203" s="244"/>
      <c r="AR203" s="244"/>
      <c r="AS203" s="244"/>
      <c r="AT203" s="244"/>
      <c r="AU203" s="244"/>
      <c r="AV203" s="241">
        <f t="shared" si="444"/>
        <v>50000</v>
      </c>
      <c r="AX203" s="241"/>
      <c r="AY203" s="244"/>
      <c r="AZ203" s="244"/>
      <c r="BA203" s="244"/>
      <c r="BB203" s="244"/>
      <c r="BC203" s="244"/>
      <c r="BD203" s="241">
        <f t="shared" si="445"/>
        <v>0</v>
      </c>
      <c r="BF203" s="241"/>
      <c r="BG203" s="244"/>
      <c r="BH203" s="244"/>
      <c r="BI203" s="244"/>
      <c r="BJ203" s="244"/>
      <c r="BK203" s="244"/>
      <c r="BL203" s="241">
        <f t="shared" si="446"/>
        <v>0</v>
      </c>
      <c r="BN203" s="241">
        <f t="shared" si="447"/>
        <v>795000</v>
      </c>
      <c r="BO203" s="241">
        <f t="shared" si="448"/>
        <v>0</v>
      </c>
      <c r="BP203" s="241">
        <f t="shared" si="449"/>
        <v>0</v>
      </c>
      <c r="BQ203" s="241">
        <f t="shared" si="450"/>
        <v>1000000</v>
      </c>
      <c r="BR203" s="241">
        <f t="shared" si="451"/>
        <v>0</v>
      </c>
      <c r="BS203" s="241">
        <f t="shared" si="452"/>
        <v>0</v>
      </c>
      <c r="BT203" s="241">
        <f t="shared" si="453"/>
        <v>1795000</v>
      </c>
      <c r="BV203" s="241">
        <v>1795000</v>
      </c>
      <c r="BW203" s="286">
        <f t="shared" si="362"/>
        <v>0</v>
      </c>
    </row>
    <row r="204" spans="1:75" x14ac:dyDescent="0.25">
      <c r="A204" s="211" t="s">
        <v>301</v>
      </c>
      <c r="B204" s="241">
        <v>0</v>
      </c>
      <c r="C204" s="244"/>
      <c r="D204" s="244"/>
      <c r="E204" s="244"/>
      <c r="F204" s="244"/>
      <c r="G204" s="244"/>
      <c r="H204" s="241">
        <f t="shared" si="439"/>
        <v>0</v>
      </c>
      <c r="J204" s="241">
        <v>0</v>
      </c>
      <c r="K204" s="244"/>
      <c r="L204" s="244"/>
      <c r="M204" s="244"/>
      <c r="N204" s="244"/>
      <c r="O204" s="244"/>
      <c r="P204" s="241">
        <f t="shared" si="440"/>
        <v>0</v>
      </c>
      <c r="R204" s="241">
        <v>0</v>
      </c>
      <c r="S204" s="244"/>
      <c r="T204" s="244"/>
      <c r="U204" s="244"/>
      <c r="V204" s="244"/>
      <c r="W204" s="244"/>
      <c r="X204" s="241">
        <f t="shared" si="441"/>
        <v>0</v>
      </c>
      <c r="Z204" s="241"/>
      <c r="AA204" s="244"/>
      <c r="AB204" s="244"/>
      <c r="AC204" s="244"/>
      <c r="AD204" s="244"/>
      <c r="AE204" s="244"/>
      <c r="AF204" s="241">
        <f t="shared" si="442"/>
        <v>0</v>
      </c>
      <c r="AH204" s="241"/>
      <c r="AI204" s="244"/>
      <c r="AJ204" s="244"/>
      <c r="AK204" s="244"/>
      <c r="AL204" s="244"/>
      <c r="AM204" s="244"/>
      <c r="AN204" s="241">
        <f t="shared" si="443"/>
        <v>0</v>
      </c>
      <c r="AP204" s="241">
        <v>0</v>
      </c>
      <c r="AQ204" s="244"/>
      <c r="AR204" s="244"/>
      <c r="AS204" s="244"/>
      <c r="AT204" s="244"/>
      <c r="AU204" s="244"/>
      <c r="AV204" s="241">
        <f t="shared" si="444"/>
        <v>0</v>
      </c>
      <c r="AX204" s="241"/>
      <c r="AY204" s="244"/>
      <c r="AZ204" s="244"/>
      <c r="BA204" s="244"/>
      <c r="BB204" s="244"/>
      <c r="BC204" s="244"/>
      <c r="BD204" s="241">
        <f t="shared" si="445"/>
        <v>0</v>
      </c>
      <c r="BF204" s="241"/>
      <c r="BG204" s="244"/>
      <c r="BH204" s="244"/>
      <c r="BI204" s="244"/>
      <c r="BJ204" s="244"/>
      <c r="BK204" s="244"/>
      <c r="BL204" s="241">
        <f t="shared" si="446"/>
        <v>0</v>
      </c>
      <c r="BN204" s="241">
        <f t="shared" si="447"/>
        <v>0</v>
      </c>
      <c r="BO204" s="241">
        <f t="shared" si="448"/>
        <v>0</v>
      </c>
      <c r="BP204" s="241">
        <f t="shared" si="449"/>
        <v>0</v>
      </c>
      <c r="BQ204" s="241">
        <f t="shared" si="450"/>
        <v>0</v>
      </c>
      <c r="BR204" s="241">
        <f t="shared" si="451"/>
        <v>0</v>
      </c>
      <c r="BS204" s="241">
        <f t="shared" si="452"/>
        <v>0</v>
      </c>
      <c r="BT204" s="241">
        <f t="shared" si="453"/>
        <v>0</v>
      </c>
      <c r="BV204" s="241">
        <v>0</v>
      </c>
      <c r="BW204" s="286">
        <f t="shared" si="362"/>
        <v>0</v>
      </c>
    </row>
    <row r="205" spans="1:75" x14ac:dyDescent="0.25">
      <c r="A205" s="211" t="s">
        <v>302</v>
      </c>
      <c r="B205" s="241">
        <f>((700*1.04)*12)+17500</f>
        <v>26236</v>
      </c>
      <c r="C205" s="244"/>
      <c r="D205" s="244"/>
      <c r="E205" s="244"/>
      <c r="F205" s="244"/>
      <c r="G205" s="244"/>
      <c r="H205" s="241">
        <f t="shared" si="439"/>
        <v>26236</v>
      </c>
      <c r="J205" s="241">
        <f>((1200*1.04)*12)+20000</f>
        <v>34976</v>
      </c>
      <c r="K205" s="244"/>
      <c r="L205" s="244"/>
      <c r="M205" s="244"/>
      <c r="N205" s="244"/>
      <c r="O205" s="244"/>
      <c r="P205" s="241">
        <f t="shared" si="440"/>
        <v>34976</v>
      </c>
      <c r="R205" s="241">
        <f>(960*1.04)+17500</f>
        <v>18498.400000000001</v>
      </c>
      <c r="S205" s="244"/>
      <c r="T205" s="244"/>
      <c r="U205" s="244"/>
      <c r="V205" s="244"/>
      <c r="W205" s="244"/>
      <c r="X205" s="241">
        <f t="shared" si="441"/>
        <v>18498.400000000001</v>
      </c>
      <c r="Z205" s="241">
        <f>((625*1.04)*12)+15000</f>
        <v>22800</v>
      </c>
      <c r="AA205" s="244"/>
      <c r="AB205" s="244"/>
      <c r="AC205" s="244"/>
      <c r="AD205" s="244"/>
      <c r="AE205" s="244"/>
      <c r="AF205" s="241">
        <f t="shared" si="442"/>
        <v>22800</v>
      </c>
      <c r="AH205" s="241">
        <f>((1330*1.04)*12)+20000</f>
        <v>36598.400000000001</v>
      </c>
      <c r="AI205" s="244"/>
      <c r="AJ205" s="244"/>
      <c r="AK205" s="244"/>
      <c r="AL205" s="244"/>
      <c r="AM205" s="244"/>
      <c r="AN205" s="241">
        <f t="shared" si="443"/>
        <v>36598.400000000001</v>
      </c>
      <c r="AP205" s="241"/>
      <c r="AQ205" s="244"/>
      <c r="AR205" s="244"/>
      <c r="AS205" s="244"/>
      <c r="AT205" s="244"/>
      <c r="AU205" s="244"/>
      <c r="AV205" s="241">
        <f t="shared" si="444"/>
        <v>0</v>
      </c>
      <c r="AX205" s="241"/>
      <c r="AY205" s="244"/>
      <c r="AZ205" s="244"/>
      <c r="BA205" s="244"/>
      <c r="BB205" s="244"/>
      <c r="BC205" s="244"/>
      <c r="BD205" s="241">
        <f t="shared" si="445"/>
        <v>0</v>
      </c>
      <c r="BF205" s="241"/>
      <c r="BG205" s="244"/>
      <c r="BH205" s="244"/>
      <c r="BI205" s="244"/>
      <c r="BJ205" s="244"/>
      <c r="BK205" s="244"/>
      <c r="BL205" s="241">
        <f t="shared" si="446"/>
        <v>0</v>
      </c>
      <c r="BN205" s="241">
        <f t="shared" si="447"/>
        <v>139108.79999999999</v>
      </c>
      <c r="BO205" s="241">
        <f t="shared" si="448"/>
        <v>0</v>
      </c>
      <c r="BP205" s="241">
        <f t="shared" si="449"/>
        <v>0</v>
      </c>
      <c r="BQ205" s="241">
        <f t="shared" si="450"/>
        <v>0</v>
      </c>
      <c r="BR205" s="241">
        <f t="shared" si="451"/>
        <v>0</v>
      </c>
      <c r="BS205" s="241">
        <f t="shared" si="452"/>
        <v>0</v>
      </c>
      <c r="BT205" s="241">
        <f t="shared" si="453"/>
        <v>139108.79999999999</v>
      </c>
      <c r="BV205" s="241">
        <v>139108.79999999999</v>
      </c>
      <c r="BW205" s="286">
        <f t="shared" si="362"/>
        <v>0</v>
      </c>
    </row>
    <row r="206" spans="1:75" x14ac:dyDescent="0.25">
      <c r="A206" s="212" t="s">
        <v>303</v>
      </c>
      <c r="B206" s="241">
        <f>(6500*1.05)+25000</f>
        <v>31825</v>
      </c>
      <c r="C206" s="245"/>
      <c r="D206" s="245"/>
      <c r="E206" s="245"/>
      <c r="F206" s="245"/>
      <c r="G206" s="245"/>
      <c r="H206" s="241">
        <f t="shared" si="439"/>
        <v>31825</v>
      </c>
      <c r="J206" s="241">
        <f>(29835*1.04)+25000</f>
        <v>56028.4</v>
      </c>
      <c r="K206" s="245"/>
      <c r="L206" s="245"/>
      <c r="M206" s="245"/>
      <c r="N206" s="245"/>
      <c r="O206" s="245"/>
      <c r="P206" s="241">
        <f t="shared" si="440"/>
        <v>56028.4</v>
      </c>
      <c r="R206" s="241">
        <f>(9200*1.04)+15500</f>
        <v>25068</v>
      </c>
      <c r="S206" s="245"/>
      <c r="T206" s="245"/>
      <c r="U206" s="245"/>
      <c r="V206" s="245"/>
      <c r="W206" s="245"/>
      <c r="X206" s="241">
        <f t="shared" si="441"/>
        <v>25068</v>
      </c>
      <c r="Z206" s="241">
        <f>(12675*1.04)+15000</f>
        <v>28182</v>
      </c>
      <c r="AA206" s="245"/>
      <c r="AB206" s="245"/>
      <c r="AC206" s="245"/>
      <c r="AD206" s="245"/>
      <c r="AE206" s="245"/>
      <c r="AF206" s="241">
        <f t="shared" si="442"/>
        <v>28182</v>
      </c>
      <c r="AH206" s="241">
        <f>(26170*1.04)+25000</f>
        <v>52216.800000000003</v>
      </c>
      <c r="AI206" s="245"/>
      <c r="AJ206" s="245"/>
      <c r="AK206" s="245"/>
      <c r="AL206" s="245"/>
      <c r="AM206" s="245"/>
      <c r="AN206" s="241">
        <f t="shared" si="443"/>
        <v>52216.800000000003</v>
      </c>
      <c r="AP206" s="241">
        <f>(10450*1.04)+7500</f>
        <v>18368</v>
      </c>
      <c r="AQ206" s="245"/>
      <c r="AR206" s="245"/>
      <c r="AS206" s="245"/>
      <c r="AT206" s="245"/>
      <c r="AU206" s="245"/>
      <c r="AV206" s="241">
        <f t="shared" si="444"/>
        <v>18368</v>
      </c>
      <c r="AX206" s="241"/>
      <c r="AY206" s="245"/>
      <c r="AZ206" s="245"/>
      <c r="BA206" s="245"/>
      <c r="BB206" s="245"/>
      <c r="BC206" s="245"/>
      <c r="BD206" s="241">
        <f t="shared" si="445"/>
        <v>0</v>
      </c>
      <c r="BF206" s="241"/>
      <c r="BG206" s="245"/>
      <c r="BH206" s="245"/>
      <c r="BI206" s="245"/>
      <c r="BJ206" s="245"/>
      <c r="BK206" s="245"/>
      <c r="BL206" s="241">
        <f t="shared" si="446"/>
        <v>0</v>
      </c>
      <c r="BN206" s="241">
        <f t="shared" si="447"/>
        <v>211688.2</v>
      </c>
      <c r="BO206" s="241">
        <f t="shared" si="448"/>
        <v>0</v>
      </c>
      <c r="BP206" s="241">
        <f t="shared" si="449"/>
        <v>0</v>
      </c>
      <c r="BQ206" s="241">
        <f t="shared" si="450"/>
        <v>0</v>
      </c>
      <c r="BR206" s="241">
        <f t="shared" si="451"/>
        <v>0</v>
      </c>
      <c r="BS206" s="241">
        <f t="shared" si="452"/>
        <v>0</v>
      </c>
      <c r="BT206" s="241">
        <f t="shared" si="453"/>
        <v>211688.2</v>
      </c>
      <c r="BV206" s="241">
        <v>211688.2</v>
      </c>
      <c r="BW206" s="286">
        <f t="shared" si="362"/>
        <v>0</v>
      </c>
    </row>
    <row r="207" spans="1:75" x14ac:dyDescent="0.25">
      <c r="A207" s="213"/>
      <c r="B207" s="258">
        <f>SUM(B197:B206)</f>
        <v>470116</v>
      </c>
      <c r="C207" s="258">
        <f t="shared" ref="C207:H207" si="454">SUM(C197:C206)</f>
        <v>0</v>
      </c>
      <c r="D207" s="258">
        <f t="shared" si="454"/>
        <v>0</v>
      </c>
      <c r="E207" s="258">
        <f t="shared" si="454"/>
        <v>0</v>
      </c>
      <c r="F207" s="258">
        <f t="shared" si="454"/>
        <v>0</v>
      </c>
      <c r="G207" s="258">
        <f t="shared" si="454"/>
        <v>0</v>
      </c>
      <c r="H207" s="258">
        <f t="shared" si="454"/>
        <v>470116</v>
      </c>
      <c r="J207" s="258">
        <f>SUM(J197:J206)</f>
        <v>1024729.4</v>
      </c>
      <c r="K207" s="258">
        <f t="shared" ref="K207:P207" si="455">SUM(K197:K206)</f>
        <v>0</v>
      </c>
      <c r="L207" s="258">
        <f t="shared" si="455"/>
        <v>0</v>
      </c>
      <c r="M207" s="258">
        <f t="shared" si="455"/>
        <v>0</v>
      </c>
      <c r="N207" s="258">
        <f t="shared" si="455"/>
        <v>0</v>
      </c>
      <c r="O207" s="258">
        <f t="shared" si="455"/>
        <v>0</v>
      </c>
      <c r="P207" s="258">
        <f t="shared" si="455"/>
        <v>1024729.4</v>
      </c>
      <c r="R207" s="258">
        <f>SUM(R197:R206)</f>
        <v>417676.4</v>
      </c>
      <c r="S207" s="258">
        <f t="shared" ref="S207:X207" si="456">SUM(S197:S206)</f>
        <v>0</v>
      </c>
      <c r="T207" s="258">
        <f t="shared" si="456"/>
        <v>0</v>
      </c>
      <c r="U207" s="258">
        <f t="shared" si="456"/>
        <v>0</v>
      </c>
      <c r="V207" s="258">
        <f t="shared" si="456"/>
        <v>0</v>
      </c>
      <c r="W207" s="258">
        <f t="shared" si="456"/>
        <v>0</v>
      </c>
      <c r="X207" s="258">
        <f t="shared" si="456"/>
        <v>417676.4</v>
      </c>
      <c r="Z207" s="258">
        <f>SUM(Z197:Z206)</f>
        <v>505332</v>
      </c>
      <c r="AA207" s="258">
        <f t="shared" ref="AA207:AF207" si="457">SUM(AA197:AA206)</f>
        <v>0</v>
      </c>
      <c r="AB207" s="258">
        <f t="shared" si="457"/>
        <v>0</v>
      </c>
      <c r="AC207" s="258">
        <f t="shared" si="457"/>
        <v>0</v>
      </c>
      <c r="AD207" s="258">
        <f t="shared" si="457"/>
        <v>0</v>
      </c>
      <c r="AE207" s="258">
        <f t="shared" si="457"/>
        <v>0</v>
      </c>
      <c r="AF207" s="258">
        <f t="shared" si="457"/>
        <v>505332</v>
      </c>
      <c r="AH207" s="258">
        <f>SUM(AH197:AH206)</f>
        <v>1140815.2</v>
      </c>
      <c r="AI207" s="258">
        <f t="shared" ref="AI207:AN207" si="458">SUM(AI197:AI206)</f>
        <v>0</v>
      </c>
      <c r="AJ207" s="258">
        <f t="shared" si="458"/>
        <v>0</v>
      </c>
      <c r="AK207" s="258">
        <f t="shared" si="458"/>
        <v>1000000</v>
      </c>
      <c r="AL207" s="258">
        <f t="shared" si="458"/>
        <v>0</v>
      </c>
      <c r="AM207" s="258">
        <f t="shared" si="458"/>
        <v>0</v>
      </c>
      <c r="AN207" s="258">
        <f t="shared" si="458"/>
        <v>2140815.1999999997</v>
      </c>
      <c r="AP207" s="258">
        <f>SUM(AP197:AP206)</f>
        <v>166168</v>
      </c>
      <c r="AQ207" s="258">
        <f t="shared" ref="AQ207:AV207" si="459">SUM(AQ197:AQ206)</f>
        <v>0</v>
      </c>
      <c r="AR207" s="258">
        <f t="shared" si="459"/>
        <v>0</v>
      </c>
      <c r="AS207" s="258">
        <f t="shared" si="459"/>
        <v>0</v>
      </c>
      <c r="AT207" s="258">
        <f t="shared" si="459"/>
        <v>0</v>
      </c>
      <c r="AU207" s="258">
        <f t="shared" si="459"/>
        <v>0</v>
      </c>
      <c r="AV207" s="258">
        <f t="shared" si="459"/>
        <v>166168</v>
      </c>
      <c r="AX207" s="258">
        <f>SUM(AX197:AX206)</f>
        <v>0</v>
      </c>
      <c r="AY207" s="258">
        <f t="shared" ref="AY207:BD207" si="460">SUM(AY197:AY206)</f>
        <v>0</v>
      </c>
      <c r="AZ207" s="258">
        <f t="shared" si="460"/>
        <v>0</v>
      </c>
      <c r="BA207" s="258">
        <f t="shared" si="460"/>
        <v>0</v>
      </c>
      <c r="BB207" s="258">
        <f t="shared" si="460"/>
        <v>0</v>
      </c>
      <c r="BC207" s="258">
        <f t="shared" si="460"/>
        <v>0</v>
      </c>
      <c r="BD207" s="258">
        <f t="shared" si="460"/>
        <v>0</v>
      </c>
      <c r="BF207" s="258">
        <f>SUM(BF197:BF206)</f>
        <v>0</v>
      </c>
      <c r="BG207" s="258">
        <f t="shared" ref="BG207:BL207" si="461">SUM(BG197:BG206)</f>
        <v>0</v>
      </c>
      <c r="BH207" s="258">
        <f t="shared" si="461"/>
        <v>0</v>
      </c>
      <c r="BI207" s="258">
        <f t="shared" si="461"/>
        <v>0</v>
      </c>
      <c r="BJ207" s="258">
        <f t="shared" si="461"/>
        <v>0</v>
      </c>
      <c r="BK207" s="258">
        <f t="shared" si="461"/>
        <v>0</v>
      </c>
      <c r="BL207" s="258">
        <f t="shared" si="461"/>
        <v>0</v>
      </c>
      <c r="BN207" s="258">
        <f>SUM(BN197:BN206)</f>
        <v>3724837</v>
      </c>
      <c r="BO207" s="258">
        <f t="shared" ref="BO207:BT207" si="462">SUM(BO197:BO206)</f>
        <v>0</v>
      </c>
      <c r="BP207" s="258">
        <f t="shared" si="462"/>
        <v>0</v>
      </c>
      <c r="BQ207" s="258">
        <f t="shared" si="462"/>
        <v>1000000</v>
      </c>
      <c r="BR207" s="258">
        <f t="shared" si="462"/>
        <v>0</v>
      </c>
      <c r="BS207" s="258">
        <f t="shared" si="462"/>
        <v>0</v>
      </c>
      <c r="BT207" s="258">
        <f t="shared" si="462"/>
        <v>4724837</v>
      </c>
      <c r="BV207" s="258">
        <v>4724837</v>
      </c>
      <c r="BW207" s="286">
        <f t="shared" si="362"/>
        <v>0</v>
      </c>
    </row>
    <row r="208" spans="1:75" ht="16.5" thickBot="1" x14ac:dyDescent="0.3">
      <c r="B208" s="259"/>
      <c r="C208" s="259"/>
      <c r="D208" s="259"/>
      <c r="E208" s="259"/>
      <c r="F208" s="259"/>
      <c r="G208" s="259"/>
      <c r="H208" s="259"/>
      <c r="J208" s="259"/>
      <c r="K208" s="259"/>
      <c r="L208" s="259"/>
      <c r="M208" s="259"/>
      <c r="N208" s="259"/>
      <c r="O208" s="259"/>
      <c r="P208" s="259"/>
      <c r="R208" s="259"/>
      <c r="S208" s="259"/>
      <c r="T208" s="259"/>
      <c r="U208" s="259"/>
      <c r="V208" s="259"/>
      <c r="W208" s="259"/>
      <c r="X208" s="259"/>
      <c r="Z208" s="259"/>
      <c r="AA208" s="259"/>
      <c r="AB208" s="259"/>
      <c r="AC208" s="259"/>
      <c r="AD208" s="259"/>
      <c r="AE208" s="259"/>
      <c r="AF208" s="259"/>
      <c r="AH208" s="259"/>
      <c r="AI208" s="259"/>
      <c r="AJ208" s="259"/>
      <c r="AK208" s="259"/>
      <c r="AL208" s="259"/>
      <c r="AM208" s="259"/>
      <c r="AN208" s="259"/>
      <c r="AP208" s="259"/>
      <c r="AQ208" s="259"/>
      <c r="AR208" s="259"/>
      <c r="AS208" s="259"/>
      <c r="AT208" s="259"/>
      <c r="AU208" s="259"/>
      <c r="AV208" s="259"/>
      <c r="AX208" s="259"/>
      <c r="AY208" s="259"/>
      <c r="AZ208" s="259"/>
      <c r="BA208" s="259"/>
      <c r="BB208" s="259"/>
      <c r="BC208" s="259"/>
      <c r="BD208" s="259"/>
      <c r="BF208" s="259"/>
      <c r="BG208" s="259"/>
      <c r="BH208" s="259"/>
      <c r="BI208" s="259"/>
      <c r="BJ208" s="259"/>
      <c r="BK208" s="259"/>
      <c r="BL208" s="259"/>
      <c r="BN208" s="259"/>
      <c r="BO208" s="259"/>
      <c r="BP208" s="259"/>
      <c r="BQ208" s="259"/>
      <c r="BR208" s="259"/>
      <c r="BS208" s="259"/>
      <c r="BT208" s="259"/>
      <c r="BV208" s="259"/>
      <c r="BW208" s="286">
        <f t="shared" si="362"/>
        <v>0</v>
      </c>
    </row>
    <row r="209" spans="1:75" ht="16.5" thickBot="1" x14ac:dyDescent="0.3">
      <c r="A209" s="284" t="s">
        <v>338</v>
      </c>
      <c r="B209" s="264">
        <f t="shared" ref="B209:H209" si="463">B207+B194+B171+B159+B149+B141+B132+B125+B116+B109</f>
        <v>7367513.5365000004</v>
      </c>
      <c r="C209" s="264">
        <f t="shared" si="463"/>
        <v>1369342.5</v>
      </c>
      <c r="D209" s="264">
        <f t="shared" si="463"/>
        <v>305081.55</v>
      </c>
      <c r="E209" s="264">
        <f t="shared" si="463"/>
        <v>26500</v>
      </c>
      <c r="F209" s="264">
        <f t="shared" si="463"/>
        <v>100232.5</v>
      </c>
      <c r="G209" s="264">
        <f t="shared" si="463"/>
        <v>300000</v>
      </c>
      <c r="H209" s="264">
        <f t="shared" si="463"/>
        <v>9468670.0865000002</v>
      </c>
      <c r="J209" s="264">
        <f t="shared" ref="J209:P209" si="464">J207+J194+J171+J159+J149+J141+J132+J125+J116+J109</f>
        <v>20929907.009265624</v>
      </c>
      <c r="K209" s="264">
        <f t="shared" si="464"/>
        <v>2715044.2800000003</v>
      </c>
      <c r="L209" s="264">
        <f t="shared" si="464"/>
        <v>676315.66799999995</v>
      </c>
      <c r="M209" s="264">
        <f t="shared" si="464"/>
        <v>80000</v>
      </c>
      <c r="N209" s="264">
        <f t="shared" si="464"/>
        <v>49770</v>
      </c>
      <c r="O209" s="264">
        <f t="shared" si="464"/>
        <v>1500000</v>
      </c>
      <c r="P209" s="264">
        <f t="shared" si="464"/>
        <v>25951036.957265623</v>
      </c>
      <c r="R209" s="264">
        <f t="shared" ref="R209:X209" si="465">R207+R194+R171+R159+R149+R141+R132+R125+R116+R109</f>
        <v>8510953.8182500005</v>
      </c>
      <c r="S209" s="264">
        <f t="shared" si="465"/>
        <v>978004.98750000005</v>
      </c>
      <c r="T209" s="264">
        <f t="shared" si="465"/>
        <v>213961</v>
      </c>
      <c r="U209" s="264">
        <f t="shared" si="465"/>
        <v>330000</v>
      </c>
      <c r="V209" s="264">
        <f t="shared" si="465"/>
        <v>0</v>
      </c>
      <c r="W209" s="264">
        <f t="shared" si="465"/>
        <v>850000</v>
      </c>
      <c r="X209" s="264">
        <f t="shared" si="465"/>
        <v>10882919.805749999</v>
      </c>
      <c r="Z209" s="264">
        <f t="shared" ref="Z209:AF209" si="466">Z207+Z194+Z171+Z159+Z149+Z141+Z132+Z125+Z116+Z109</f>
        <v>9917277.8205749989</v>
      </c>
      <c r="AA209" s="264">
        <f t="shared" si="466"/>
        <v>1124225.925</v>
      </c>
      <c r="AB209" s="264">
        <f t="shared" si="466"/>
        <v>166267.01999999999</v>
      </c>
      <c r="AC209" s="264">
        <f t="shared" si="466"/>
        <v>450000</v>
      </c>
      <c r="AD209" s="264">
        <f t="shared" si="466"/>
        <v>0</v>
      </c>
      <c r="AE209" s="264">
        <f t="shared" si="466"/>
        <v>900000</v>
      </c>
      <c r="AF209" s="264">
        <f t="shared" si="466"/>
        <v>12557770.765574999</v>
      </c>
      <c r="AH209" s="264">
        <f t="shared" ref="AH209:AN209" si="467">AH207+AH194+AH171+AH159+AH149+AH141+AH132+AH125+AH116+AH109</f>
        <v>19630231.3105</v>
      </c>
      <c r="AI209" s="264">
        <f t="shared" si="467"/>
        <v>2398952.25</v>
      </c>
      <c r="AJ209" s="264">
        <f t="shared" si="467"/>
        <v>334233.24</v>
      </c>
      <c r="AK209" s="264">
        <f t="shared" si="467"/>
        <v>1100000</v>
      </c>
      <c r="AL209" s="264">
        <f t="shared" si="467"/>
        <v>0</v>
      </c>
      <c r="AM209" s="264">
        <f t="shared" si="467"/>
        <v>2500000</v>
      </c>
      <c r="AN209" s="264">
        <f t="shared" si="467"/>
        <v>25963416.800500002</v>
      </c>
      <c r="AP209" s="264">
        <f t="shared" ref="AP209:AV209" si="468">AP207+AP194+AP171+AP159+AP149+AP141+AP132+AP125+AP116+AP109</f>
        <v>3367713.3250000002</v>
      </c>
      <c r="AQ209" s="264">
        <f t="shared" si="468"/>
        <v>457889.25</v>
      </c>
      <c r="AR209" s="264">
        <f t="shared" si="468"/>
        <v>188731</v>
      </c>
      <c r="AS209" s="264">
        <f t="shared" si="468"/>
        <v>15500</v>
      </c>
      <c r="AT209" s="264">
        <f t="shared" si="468"/>
        <v>103455.53750000001</v>
      </c>
      <c r="AU209" s="264">
        <f t="shared" si="468"/>
        <v>100000</v>
      </c>
      <c r="AV209" s="264">
        <f t="shared" si="468"/>
        <v>4233289.1124999998</v>
      </c>
      <c r="AX209" s="264">
        <f t="shared" ref="AX209:BD209" si="469">AX207+AX194+AX171+AX159+AX149+AX141+AX132+AX125+AX116+AX109</f>
        <v>1184144.1000000001</v>
      </c>
      <c r="AY209" s="264">
        <f t="shared" si="469"/>
        <v>236873.375</v>
      </c>
      <c r="AZ209" s="264">
        <f t="shared" si="469"/>
        <v>0</v>
      </c>
      <c r="BA209" s="264">
        <f t="shared" si="469"/>
        <v>0</v>
      </c>
      <c r="BB209" s="264">
        <f t="shared" si="469"/>
        <v>37240.462500000001</v>
      </c>
      <c r="BC209" s="264">
        <f t="shared" si="469"/>
        <v>25000</v>
      </c>
      <c r="BD209" s="264">
        <f t="shared" si="469"/>
        <v>1483257.9375</v>
      </c>
      <c r="BF209" s="264">
        <f t="shared" ref="BF209:BL209" si="470">BF207+BF194+BF171+BF159+BF149+BF141+BF132+BF125+BF116+BF109</f>
        <v>540824.125</v>
      </c>
      <c r="BG209" s="264">
        <f t="shared" si="470"/>
        <v>0</v>
      </c>
      <c r="BH209" s="264">
        <f t="shared" si="470"/>
        <v>38223.125</v>
      </c>
      <c r="BI209" s="264">
        <f t="shared" si="470"/>
        <v>0</v>
      </c>
      <c r="BJ209" s="264">
        <f t="shared" si="470"/>
        <v>779511.5</v>
      </c>
      <c r="BK209" s="264">
        <f t="shared" si="470"/>
        <v>0</v>
      </c>
      <c r="BL209" s="264">
        <f t="shared" si="470"/>
        <v>1358558.75</v>
      </c>
      <c r="BN209" s="264">
        <f t="shared" ref="BN209:BT209" si="471">BN207+BN194+BN171+BN159+BN149+BN141+BN132+BN125+BN116+BN109</f>
        <v>71448565.045090631</v>
      </c>
      <c r="BO209" s="264">
        <f t="shared" si="471"/>
        <v>9280332.567499999</v>
      </c>
      <c r="BP209" s="264">
        <f t="shared" si="471"/>
        <v>1922812.6030000001</v>
      </c>
      <c r="BQ209" s="264">
        <f t="shared" si="471"/>
        <v>2002000</v>
      </c>
      <c r="BR209" s="264">
        <f t="shared" si="471"/>
        <v>1070210</v>
      </c>
      <c r="BS209" s="264">
        <f t="shared" si="471"/>
        <v>6175000</v>
      </c>
      <c r="BT209" s="264">
        <f t="shared" si="471"/>
        <v>91898920.215590641</v>
      </c>
      <c r="BV209" s="264">
        <v>91514999.275590643</v>
      </c>
      <c r="BW209" s="286">
        <f t="shared" si="362"/>
        <v>383920.93999999762</v>
      </c>
    </row>
    <row r="210" spans="1:75" ht="16.5" thickBot="1" x14ac:dyDescent="0.3">
      <c r="B210" s="259"/>
      <c r="C210" s="259"/>
      <c r="D210" s="259"/>
      <c r="E210" s="259"/>
      <c r="F210" s="259"/>
      <c r="G210" s="259"/>
      <c r="H210" s="259"/>
      <c r="BW210" s="286">
        <f t="shared" si="362"/>
        <v>0</v>
      </c>
    </row>
    <row r="211" spans="1:75" ht="16.5" thickBot="1" x14ac:dyDescent="0.3">
      <c r="A211" s="284" t="s">
        <v>339</v>
      </c>
      <c r="B211" s="265"/>
      <c r="C211" s="265"/>
      <c r="D211" s="265"/>
      <c r="E211" s="265"/>
      <c r="F211" s="265"/>
      <c r="G211" s="265"/>
      <c r="H211" s="265"/>
      <c r="J211" s="265"/>
      <c r="K211" s="265"/>
      <c r="L211" s="265"/>
      <c r="M211" s="265"/>
      <c r="N211" s="265"/>
      <c r="O211" s="265"/>
      <c r="P211" s="265"/>
      <c r="R211" s="265"/>
      <c r="S211" s="265"/>
      <c r="T211" s="265"/>
      <c r="U211" s="265"/>
      <c r="V211" s="265"/>
      <c r="W211" s="265"/>
      <c r="X211" s="265"/>
      <c r="Z211" s="265"/>
      <c r="AA211" s="265"/>
      <c r="AB211" s="265"/>
      <c r="AC211" s="265"/>
      <c r="AD211" s="265"/>
      <c r="AE211" s="265"/>
      <c r="AF211" s="265"/>
      <c r="AH211" s="265"/>
      <c r="AI211" s="265"/>
      <c r="AJ211" s="265"/>
      <c r="AK211" s="265"/>
      <c r="AL211" s="265"/>
      <c r="AM211" s="265"/>
      <c r="AN211" s="265"/>
      <c r="AP211" s="265"/>
      <c r="AQ211" s="265"/>
      <c r="AR211" s="265"/>
      <c r="AS211" s="265"/>
      <c r="AT211" s="265"/>
      <c r="AU211" s="265"/>
      <c r="AV211" s="265"/>
      <c r="AX211" s="265"/>
      <c r="AY211" s="265"/>
      <c r="AZ211" s="265"/>
      <c r="BA211" s="265"/>
      <c r="BB211" s="265"/>
      <c r="BC211" s="265"/>
      <c r="BD211" s="265"/>
      <c r="BF211" s="265"/>
      <c r="BG211" s="265"/>
      <c r="BH211" s="265"/>
      <c r="BI211" s="265"/>
      <c r="BJ211" s="265"/>
      <c r="BK211" s="265"/>
      <c r="BL211" s="265"/>
      <c r="BN211" s="265"/>
      <c r="BO211" s="265"/>
      <c r="BP211" s="265"/>
      <c r="BQ211" s="265"/>
      <c r="BR211" s="265"/>
      <c r="BS211" s="265"/>
      <c r="BT211" s="265"/>
      <c r="BV211" s="265"/>
      <c r="BW211" s="286">
        <f t="shared" si="362"/>
        <v>0</v>
      </c>
    </row>
    <row r="212" spans="1:75" x14ac:dyDescent="0.25">
      <c r="A212" s="215" t="s">
        <v>304</v>
      </c>
      <c r="B212" s="266">
        <v>0</v>
      </c>
      <c r="C212" s="266"/>
      <c r="D212" s="266"/>
      <c r="E212" s="266"/>
      <c r="F212" s="266"/>
      <c r="G212" s="266"/>
      <c r="H212" s="241">
        <f>SUM(B212:G212)</f>
        <v>0</v>
      </c>
      <c r="J212" s="266">
        <v>2493885</v>
      </c>
      <c r="K212" s="266"/>
      <c r="L212" s="266"/>
      <c r="M212" s="266"/>
      <c r="N212" s="266"/>
      <c r="O212" s="266"/>
      <c r="P212" s="241">
        <f>SUM(J212:O212)</f>
        <v>2493885</v>
      </c>
      <c r="R212" s="266">
        <v>0</v>
      </c>
      <c r="S212" s="266"/>
      <c r="T212" s="266"/>
      <c r="U212" s="266"/>
      <c r="V212" s="266"/>
      <c r="W212" s="266"/>
      <c r="X212" s="241">
        <f>SUM(R212:W212)</f>
        <v>0</v>
      </c>
      <c r="Z212" s="266">
        <v>0</v>
      </c>
      <c r="AA212" s="266"/>
      <c r="AB212" s="266"/>
      <c r="AC212" s="266"/>
      <c r="AD212" s="266"/>
      <c r="AE212" s="266"/>
      <c r="AF212" s="241">
        <f>SUM(Z212:AE212)</f>
        <v>0</v>
      </c>
      <c r="AH212" s="266">
        <v>3052552</v>
      </c>
      <c r="AI212" s="266"/>
      <c r="AJ212" s="266"/>
      <c r="AK212" s="266"/>
      <c r="AL212" s="266"/>
      <c r="AM212" s="266"/>
      <c r="AN212" s="241">
        <f>SUM(AH212:AM212)</f>
        <v>3052552</v>
      </c>
      <c r="AP212" s="266">
        <f>750*AP17</f>
        <v>277500</v>
      </c>
      <c r="AQ212" s="266"/>
      <c r="AR212" s="266"/>
      <c r="AS212" s="266"/>
      <c r="AT212" s="266"/>
      <c r="AU212" s="266"/>
      <c r="AV212" s="241">
        <f>SUM(AP212:AU212)</f>
        <v>277500</v>
      </c>
      <c r="AX212" s="266">
        <v>0</v>
      </c>
      <c r="AY212" s="266"/>
      <c r="AZ212" s="266"/>
      <c r="BA212" s="266"/>
      <c r="BB212" s="266"/>
      <c r="BC212" s="266"/>
      <c r="BD212" s="241">
        <f>SUM(AX212:BC212)</f>
        <v>0</v>
      </c>
      <c r="BF212" s="266"/>
      <c r="BG212" s="266"/>
      <c r="BH212" s="266"/>
      <c r="BI212" s="266"/>
      <c r="BJ212" s="266"/>
      <c r="BK212" s="266"/>
      <c r="BL212" s="241">
        <f>SUM(BF212:BK212)</f>
        <v>0</v>
      </c>
      <c r="BN212" s="241">
        <f>B212+J212+R212+Z212+AH212+AP212+AX212+BF212</f>
        <v>5823937</v>
      </c>
      <c r="BO212" s="241">
        <f t="shared" ref="BO212:BS212" si="472">C212+K212+S212+AA212+AI212+AQ212+AY212+BG212</f>
        <v>0</v>
      </c>
      <c r="BP212" s="241">
        <f t="shared" si="472"/>
        <v>0</v>
      </c>
      <c r="BQ212" s="241">
        <f t="shared" si="472"/>
        <v>0</v>
      </c>
      <c r="BR212" s="241">
        <f t="shared" si="472"/>
        <v>0</v>
      </c>
      <c r="BS212" s="241">
        <f t="shared" si="472"/>
        <v>0</v>
      </c>
      <c r="BT212" s="241">
        <f>SUM(BN212:BS212)</f>
        <v>5823937</v>
      </c>
      <c r="BV212" s="241">
        <v>5698820</v>
      </c>
      <c r="BW212" s="286">
        <f t="shared" si="362"/>
        <v>125117</v>
      </c>
    </row>
    <row r="213" spans="1:75" x14ac:dyDescent="0.25">
      <c r="A213" s="216" t="s">
        <v>388</v>
      </c>
      <c r="B213" s="267">
        <v>890595</v>
      </c>
      <c r="C213" s="267"/>
      <c r="D213" s="267"/>
      <c r="E213" s="267"/>
      <c r="F213" s="267"/>
      <c r="G213" s="267"/>
      <c r="H213" s="241">
        <f t="shared" ref="H213:H215" si="473">SUM(B213:G213)</f>
        <v>890595</v>
      </c>
      <c r="J213" s="267">
        <v>0</v>
      </c>
      <c r="K213" s="267"/>
      <c r="L213" s="267"/>
      <c r="M213" s="267"/>
      <c r="N213" s="267"/>
      <c r="O213" s="267"/>
      <c r="P213" s="241">
        <f t="shared" ref="P213:P215" si="474">SUM(J213:O213)</f>
        <v>0</v>
      </c>
      <c r="R213" s="267">
        <v>1008035</v>
      </c>
      <c r="S213" s="267"/>
      <c r="T213" s="267"/>
      <c r="U213" s="267"/>
      <c r="V213" s="267"/>
      <c r="W213" s="267"/>
      <c r="X213" s="241">
        <f t="shared" ref="X213:X215" si="475">SUM(R213:W213)</f>
        <v>1008035</v>
      </c>
      <c r="Z213" s="267">
        <v>1158751</v>
      </c>
      <c r="AA213" s="267"/>
      <c r="AB213" s="267"/>
      <c r="AC213" s="267"/>
      <c r="AD213" s="267"/>
      <c r="AE213" s="267"/>
      <c r="AF213" s="241">
        <f t="shared" ref="AF213:AF215" si="476">SUM(Z213:AE213)</f>
        <v>1158751</v>
      </c>
      <c r="AH213" s="267"/>
      <c r="AI213" s="267"/>
      <c r="AJ213" s="267"/>
      <c r="AK213" s="267"/>
      <c r="AL213" s="267"/>
      <c r="AM213" s="267"/>
      <c r="AN213" s="241">
        <f t="shared" ref="AN213:AN215" si="477">SUM(AH213:AM213)</f>
        <v>0</v>
      </c>
      <c r="AP213" s="267"/>
      <c r="AQ213" s="267"/>
      <c r="AR213" s="267"/>
      <c r="AS213" s="267"/>
      <c r="AT213" s="267"/>
      <c r="AU213" s="267"/>
      <c r="AV213" s="241">
        <f t="shared" ref="AV213:AV215" si="478">SUM(AP213:AU213)</f>
        <v>0</v>
      </c>
      <c r="AX213" s="267"/>
      <c r="AY213" s="267"/>
      <c r="AZ213" s="267"/>
      <c r="BA213" s="267"/>
      <c r="BB213" s="267"/>
      <c r="BC213" s="267"/>
      <c r="BD213" s="241">
        <f t="shared" ref="BD213:BD215" si="479">SUM(AX213:BC213)</f>
        <v>0</v>
      </c>
      <c r="BF213" s="267"/>
      <c r="BG213" s="267"/>
      <c r="BH213" s="267"/>
      <c r="BI213" s="267"/>
      <c r="BJ213" s="267"/>
      <c r="BK213" s="267"/>
      <c r="BL213" s="241">
        <f t="shared" ref="BL213:BL215" si="480">SUM(BF213:BK213)</f>
        <v>0</v>
      </c>
      <c r="BN213" s="241">
        <f t="shared" ref="BN213:BN215" si="481">B213+J213+R213+Z213+AH213+AP213+AX213+BF213</f>
        <v>3057381</v>
      </c>
      <c r="BO213" s="241">
        <f t="shared" ref="BO213:BO215" si="482">C213+K213+S213+AA213+AI213+AQ213+AY213+BG213</f>
        <v>0</v>
      </c>
      <c r="BP213" s="241">
        <f t="shared" ref="BP213:BP215" si="483">D213+L213+T213+AB213+AJ213+AR213+AZ213+BH213</f>
        <v>0</v>
      </c>
      <c r="BQ213" s="241">
        <f t="shared" ref="BQ213:BQ215" si="484">E213+M213+U213+AC213+AK213+AS213+BA213+BI213</f>
        <v>0</v>
      </c>
      <c r="BR213" s="241">
        <f t="shared" ref="BR213:BR215" si="485">F213+N213+V213+AD213+AL213+AT213+BB213+BJ213</f>
        <v>0</v>
      </c>
      <c r="BS213" s="241">
        <f t="shared" ref="BS213:BS215" si="486">G213+O213+W213+AE213+AM213+AU213+BC213+BK213</f>
        <v>0</v>
      </c>
      <c r="BT213" s="241">
        <f t="shared" ref="BT213:BT215" si="487">SUM(BN213:BS213)</f>
        <v>3057381</v>
      </c>
      <c r="BV213" s="241">
        <v>801452</v>
      </c>
      <c r="BW213" s="286">
        <f t="shared" si="362"/>
        <v>2255929</v>
      </c>
    </row>
    <row r="214" spans="1:75" x14ac:dyDescent="0.25">
      <c r="A214" s="216" t="s">
        <v>387</v>
      </c>
      <c r="B214" s="267"/>
      <c r="C214" s="267"/>
      <c r="D214" s="267"/>
      <c r="E214" s="267"/>
      <c r="F214" s="267"/>
      <c r="G214" s="267"/>
      <c r="H214" s="241">
        <f t="shared" si="473"/>
        <v>0</v>
      </c>
      <c r="J214" s="267">
        <v>0</v>
      </c>
      <c r="K214" s="267"/>
      <c r="L214" s="267"/>
      <c r="M214" s="267"/>
      <c r="N214" s="267"/>
      <c r="O214" s="267"/>
      <c r="P214" s="241">
        <f t="shared" si="474"/>
        <v>0</v>
      </c>
      <c r="R214" s="267"/>
      <c r="S214" s="267"/>
      <c r="T214" s="267"/>
      <c r="U214" s="267"/>
      <c r="V214" s="267"/>
      <c r="W214" s="267"/>
      <c r="X214" s="241">
        <f t="shared" si="475"/>
        <v>0</v>
      </c>
      <c r="Z214" s="267"/>
      <c r="AA214" s="267"/>
      <c r="AB214" s="267"/>
      <c r="AC214" s="267"/>
      <c r="AD214" s="267"/>
      <c r="AE214" s="267"/>
      <c r="AF214" s="241">
        <f t="shared" si="476"/>
        <v>0</v>
      </c>
      <c r="AH214" s="267"/>
      <c r="AI214" s="267"/>
      <c r="AJ214" s="267"/>
      <c r="AK214" s="267"/>
      <c r="AL214" s="267"/>
      <c r="AM214" s="267"/>
      <c r="AN214" s="241">
        <f t="shared" si="477"/>
        <v>0</v>
      </c>
      <c r="AP214" s="267"/>
      <c r="AQ214" s="267"/>
      <c r="AR214" s="267"/>
      <c r="AS214" s="267"/>
      <c r="AT214" s="267"/>
      <c r="AU214" s="267"/>
      <c r="AV214" s="241">
        <f t="shared" si="478"/>
        <v>0</v>
      </c>
      <c r="AX214" s="267"/>
      <c r="AY214" s="267"/>
      <c r="AZ214" s="267"/>
      <c r="BA214" s="267"/>
      <c r="BB214" s="267"/>
      <c r="BC214" s="267"/>
      <c r="BD214" s="241">
        <f t="shared" si="479"/>
        <v>0</v>
      </c>
      <c r="BF214" s="267"/>
      <c r="BG214" s="267"/>
      <c r="BH214" s="267"/>
      <c r="BI214" s="267"/>
      <c r="BJ214" s="267"/>
      <c r="BK214" s="267"/>
      <c r="BL214" s="241">
        <f t="shared" si="480"/>
        <v>0</v>
      </c>
      <c r="BN214" s="241">
        <f t="shared" si="481"/>
        <v>0</v>
      </c>
      <c r="BO214" s="241">
        <f t="shared" si="482"/>
        <v>0</v>
      </c>
      <c r="BP214" s="241">
        <f t="shared" si="483"/>
        <v>0</v>
      </c>
      <c r="BQ214" s="241">
        <f t="shared" si="484"/>
        <v>0</v>
      </c>
      <c r="BR214" s="241">
        <f t="shared" si="485"/>
        <v>0</v>
      </c>
      <c r="BS214" s="241">
        <f t="shared" si="486"/>
        <v>0</v>
      </c>
      <c r="BT214" s="241">
        <f t="shared" si="487"/>
        <v>0</v>
      </c>
      <c r="BV214" s="241">
        <v>1985897</v>
      </c>
      <c r="BW214" s="286">
        <f t="shared" ref="BW214:BW216" si="488">BT214-BV214</f>
        <v>-1985897</v>
      </c>
    </row>
    <row r="215" spans="1:75" x14ac:dyDescent="0.25">
      <c r="A215" s="217" t="s">
        <v>307</v>
      </c>
      <c r="B215" s="268">
        <f>(3750*2)*1.075</f>
        <v>8062.5</v>
      </c>
      <c r="C215" s="268"/>
      <c r="D215" s="268"/>
      <c r="E215" s="268"/>
      <c r="F215" s="268"/>
      <c r="G215" s="268"/>
      <c r="H215" s="241">
        <f t="shared" si="473"/>
        <v>8062.5</v>
      </c>
      <c r="J215" s="268">
        <v>0</v>
      </c>
      <c r="K215" s="268"/>
      <c r="L215" s="268"/>
      <c r="M215" s="268"/>
      <c r="N215" s="268"/>
      <c r="O215" s="268"/>
      <c r="P215" s="241">
        <f t="shared" si="474"/>
        <v>0</v>
      </c>
      <c r="R215" s="268">
        <v>0</v>
      </c>
      <c r="S215" s="268"/>
      <c r="T215" s="268"/>
      <c r="U215" s="268"/>
      <c r="V215" s="268"/>
      <c r="W215" s="268"/>
      <c r="X215" s="241">
        <f t="shared" si="475"/>
        <v>0</v>
      </c>
      <c r="Z215" s="268">
        <v>0</v>
      </c>
      <c r="AA215" s="268"/>
      <c r="AB215" s="268"/>
      <c r="AC215" s="268"/>
      <c r="AD215" s="268"/>
      <c r="AE215" s="268"/>
      <c r="AF215" s="241">
        <f t="shared" si="476"/>
        <v>0</v>
      </c>
      <c r="AH215" s="268"/>
      <c r="AI215" s="268"/>
      <c r="AJ215" s="268"/>
      <c r="AK215" s="268"/>
      <c r="AL215" s="268"/>
      <c r="AM215" s="268"/>
      <c r="AN215" s="241">
        <f t="shared" si="477"/>
        <v>0</v>
      </c>
      <c r="AP215" s="268"/>
      <c r="AQ215" s="268"/>
      <c r="AR215" s="268"/>
      <c r="AS215" s="268"/>
      <c r="AT215" s="268"/>
      <c r="AU215" s="268"/>
      <c r="AV215" s="241">
        <f t="shared" si="478"/>
        <v>0</v>
      </c>
      <c r="AX215" s="268"/>
      <c r="AY215" s="268"/>
      <c r="AZ215" s="268"/>
      <c r="BA215" s="268"/>
      <c r="BB215" s="268"/>
      <c r="BC215" s="268"/>
      <c r="BD215" s="241">
        <f t="shared" si="479"/>
        <v>0</v>
      </c>
      <c r="BF215" s="268"/>
      <c r="BG215" s="268"/>
      <c r="BH215" s="268"/>
      <c r="BI215" s="268"/>
      <c r="BJ215" s="268"/>
      <c r="BK215" s="268"/>
      <c r="BL215" s="241">
        <f t="shared" si="480"/>
        <v>0</v>
      </c>
      <c r="BN215" s="241">
        <f t="shared" si="481"/>
        <v>8062.5</v>
      </c>
      <c r="BO215" s="241">
        <f t="shared" si="482"/>
        <v>0</v>
      </c>
      <c r="BP215" s="241">
        <f t="shared" si="483"/>
        <v>0</v>
      </c>
      <c r="BQ215" s="241">
        <f t="shared" si="484"/>
        <v>0</v>
      </c>
      <c r="BR215" s="241">
        <f t="shared" si="485"/>
        <v>0</v>
      </c>
      <c r="BS215" s="241">
        <f t="shared" si="486"/>
        <v>0</v>
      </c>
      <c r="BT215" s="241">
        <f t="shared" si="487"/>
        <v>8062.5</v>
      </c>
      <c r="BV215" s="241">
        <v>48375</v>
      </c>
      <c r="BW215" s="286">
        <f t="shared" si="488"/>
        <v>-40312.5</v>
      </c>
    </row>
    <row r="216" spans="1:75" x14ac:dyDescent="0.25">
      <c r="A216" s="207"/>
      <c r="B216" s="258">
        <f>SUM(B212:B215)</f>
        <v>898657.5</v>
      </c>
      <c r="C216" s="258">
        <f t="shared" ref="C216:H216" si="489">SUM(C212:C215)</f>
        <v>0</v>
      </c>
      <c r="D216" s="258">
        <f t="shared" si="489"/>
        <v>0</v>
      </c>
      <c r="E216" s="258">
        <f t="shared" si="489"/>
        <v>0</v>
      </c>
      <c r="F216" s="258">
        <f t="shared" si="489"/>
        <v>0</v>
      </c>
      <c r="G216" s="258">
        <f t="shared" si="489"/>
        <v>0</v>
      </c>
      <c r="H216" s="258">
        <f t="shared" si="489"/>
        <v>898657.5</v>
      </c>
      <c r="J216" s="258">
        <f>SUM(J212:J215)</f>
        <v>2493885</v>
      </c>
      <c r="K216" s="258">
        <f t="shared" ref="K216:P216" si="490">SUM(K212:K215)</f>
        <v>0</v>
      </c>
      <c r="L216" s="258">
        <f t="shared" si="490"/>
        <v>0</v>
      </c>
      <c r="M216" s="258">
        <f t="shared" si="490"/>
        <v>0</v>
      </c>
      <c r="N216" s="258">
        <f t="shared" si="490"/>
        <v>0</v>
      </c>
      <c r="O216" s="258">
        <f t="shared" si="490"/>
        <v>0</v>
      </c>
      <c r="P216" s="258">
        <f t="shared" si="490"/>
        <v>2493885</v>
      </c>
      <c r="R216" s="258">
        <f>SUM(R212:R215)</f>
        <v>1008035</v>
      </c>
      <c r="S216" s="258">
        <f t="shared" ref="S216:X216" si="491">SUM(S212:S215)</f>
        <v>0</v>
      </c>
      <c r="T216" s="258">
        <f t="shared" si="491"/>
        <v>0</v>
      </c>
      <c r="U216" s="258">
        <f t="shared" si="491"/>
        <v>0</v>
      </c>
      <c r="V216" s="258">
        <f t="shared" si="491"/>
        <v>0</v>
      </c>
      <c r="W216" s="258">
        <f t="shared" si="491"/>
        <v>0</v>
      </c>
      <c r="X216" s="258">
        <f t="shared" si="491"/>
        <v>1008035</v>
      </c>
      <c r="Z216" s="258">
        <f>SUM(Z212:Z215)</f>
        <v>1158751</v>
      </c>
      <c r="AA216" s="258">
        <f t="shared" ref="AA216:AF216" si="492">SUM(AA212:AA215)</f>
        <v>0</v>
      </c>
      <c r="AB216" s="258">
        <f t="shared" si="492"/>
        <v>0</v>
      </c>
      <c r="AC216" s="258">
        <f t="shared" si="492"/>
        <v>0</v>
      </c>
      <c r="AD216" s="258">
        <f t="shared" si="492"/>
        <v>0</v>
      </c>
      <c r="AE216" s="258">
        <f t="shared" si="492"/>
        <v>0</v>
      </c>
      <c r="AF216" s="258">
        <f t="shared" si="492"/>
        <v>1158751</v>
      </c>
      <c r="AH216" s="258">
        <f>SUM(AH212:AH215)</f>
        <v>3052552</v>
      </c>
      <c r="AI216" s="258">
        <f t="shared" ref="AI216:AN216" si="493">SUM(AI212:AI215)</f>
        <v>0</v>
      </c>
      <c r="AJ216" s="258">
        <f t="shared" si="493"/>
        <v>0</v>
      </c>
      <c r="AK216" s="258">
        <f t="shared" si="493"/>
        <v>0</v>
      </c>
      <c r="AL216" s="258">
        <f t="shared" si="493"/>
        <v>0</v>
      </c>
      <c r="AM216" s="258">
        <f t="shared" si="493"/>
        <v>0</v>
      </c>
      <c r="AN216" s="258">
        <f t="shared" si="493"/>
        <v>3052552</v>
      </c>
      <c r="AP216" s="258">
        <f>SUM(AP212:AP215)</f>
        <v>277500</v>
      </c>
      <c r="AQ216" s="258">
        <f t="shared" ref="AQ216:AV216" si="494">SUM(AQ212:AQ215)</f>
        <v>0</v>
      </c>
      <c r="AR216" s="258">
        <f t="shared" si="494"/>
        <v>0</v>
      </c>
      <c r="AS216" s="258">
        <f t="shared" si="494"/>
        <v>0</v>
      </c>
      <c r="AT216" s="258">
        <f t="shared" si="494"/>
        <v>0</v>
      </c>
      <c r="AU216" s="258">
        <f t="shared" si="494"/>
        <v>0</v>
      </c>
      <c r="AV216" s="258">
        <f t="shared" si="494"/>
        <v>277500</v>
      </c>
      <c r="AX216" s="258">
        <f>SUM(AX212:AX215)</f>
        <v>0</v>
      </c>
      <c r="AY216" s="258">
        <f t="shared" ref="AY216:BD216" si="495">SUM(AY212:AY215)</f>
        <v>0</v>
      </c>
      <c r="AZ216" s="258">
        <f t="shared" si="495"/>
        <v>0</v>
      </c>
      <c r="BA216" s="258">
        <f t="shared" si="495"/>
        <v>0</v>
      </c>
      <c r="BB216" s="258">
        <f t="shared" si="495"/>
        <v>0</v>
      </c>
      <c r="BC216" s="258">
        <f t="shared" si="495"/>
        <v>0</v>
      </c>
      <c r="BD216" s="258">
        <f t="shared" si="495"/>
        <v>0</v>
      </c>
      <c r="BF216" s="258">
        <f>SUM(BF212:BF215)</f>
        <v>0</v>
      </c>
      <c r="BG216" s="258">
        <f t="shared" ref="BG216:BL216" si="496">SUM(BG212:BG215)</f>
        <v>0</v>
      </c>
      <c r="BH216" s="258">
        <f t="shared" si="496"/>
        <v>0</v>
      </c>
      <c r="BI216" s="258">
        <f t="shared" si="496"/>
        <v>0</v>
      </c>
      <c r="BJ216" s="258">
        <f t="shared" si="496"/>
        <v>0</v>
      </c>
      <c r="BK216" s="258">
        <f t="shared" si="496"/>
        <v>0</v>
      </c>
      <c r="BL216" s="258">
        <f t="shared" si="496"/>
        <v>0</v>
      </c>
      <c r="BN216" s="258">
        <f>SUM(BN212:BN215)</f>
        <v>8889380.5</v>
      </c>
      <c r="BO216" s="258">
        <f t="shared" ref="BO216:BT216" si="497">SUM(BO212:BO215)</f>
        <v>0</v>
      </c>
      <c r="BP216" s="258">
        <f t="shared" si="497"/>
        <v>0</v>
      </c>
      <c r="BQ216" s="258">
        <f t="shared" si="497"/>
        <v>0</v>
      </c>
      <c r="BR216" s="258">
        <f t="shared" si="497"/>
        <v>0</v>
      </c>
      <c r="BS216" s="258">
        <f t="shared" si="497"/>
        <v>0</v>
      </c>
      <c r="BT216" s="258">
        <f t="shared" si="497"/>
        <v>8889380.5</v>
      </c>
      <c r="BV216" s="258">
        <v>8534544</v>
      </c>
      <c r="BW216" s="286">
        <f t="shared" si="488"/>
        <v>354836.5</v>
      </c>
    </row>
    <row r="217" spans="1:75" ht="16.5" thickBot="1" x14ac:dyDescent="0.3">
      <c r="B217" s="259"/>
      <c r="C217" s="259"/>
      <c r="D217" s="259"/>
      <c r="E217" s="259"/>
      <c r="F217" s="259"/>
      <c r="G217" s="259"/>
      <c r="H217" s="259"/>
      <c r="J217" s="259"/>
      <c r="K217" s="259"/>
      <c r="L217" s="259"/>
      <c r="M217" s="259"/>
      <c r="N217" s="259"/>
      <c r="O217" s="259"/>
      <c r="P217" s="259"/>
      <c r="R217" s="259"/>
      <c r="S217" s="259"/>
      <c r="T217" s="259"/>
      <c r="U217" s="259"/>
      <c r="V217" s="259"/>
      <c r="W217" s="259"/>
      <c r="X217" s="259"/>
      <c r="Z217" s="259"/>
      <c r="AA217" s="259"/>
      <c r="AB217" s="259"/>
      <c r="AC217" s="259"/>
      <c r="AD217" s="259"/>
      <c r="AE217" s="259"/>
      <c r="AF217" s="259"/>
      <c r="AH217" s="259"/>
      <c r="AI217" s="259"/>
      <c r="AJ217" s="259"/>
      <c r="AK217" s="259"/>
      <c r="AL217" s="259"/>
      <c r="AM217" s="259"/>
      <c r="AN217" s="259"/>
      <c r="AP217" s="259"/>
      <c r="AQ217" s="259"/>
      <c r="AR217" s="259"/>
      <c r="AS217" s="259"/>
      <c r="AT217" s="259"/>
      <c r="AU217" s="259"/>
      <c r="AV217" s="259"/>
      <c r="AX217" s="259"/>
      <c r="AY217" s="259"/>
      <c r="AZ217" s="259"/>
      <c r="BA217" s="259"/>
      <c r="BB217" s="259"/>
      <c r="BC217" s="259"/>
      <c r="BD217" s="259"/>
      <c r="BF217" s="259"/>
      <c r="BG217" s="259"/>
      <c r="BH217" s="259"/>
      <c r="BI217" s="259"/>
      <c r="BJ217" s="259"/>
      <c r="BK217" s="259"/>
      <c r="BL217" s="259"/>
      <c r="BN217" s="259"/>
      <c r="BO217" s="259"/>
      <c r="BP217" s="259"/>
      <c r="BQ217" s="259"/>
      <c r="BR217" s="259"/>
      <c r="BS217" s="259"/>
      <c r="BT217" s="259"/>
      <c r="BV217" s="259"/>
    </row>
    <row r="218" spans="1:75" ht="16.5" thickBot="1" x14ac:dyDescent="0.3">
      <c r="A218" s="218" t="s">
        <v>340</v>
      </c>
      <c r="B218" s="269">
        <f t="shared" ref="B218:H218" si="498">(B82+B88)-(B216+B209)</f>
        <v>808011.96349999961</v>
      </c>
      <c r="C218" s="269">
        <f t="shared" si="498"/>
        <v>-698779.5</v>
      </c>
      <c r="D218" s="269">
        <f t="shared" si="498"/>
        <v>-47501.550000000017</v>
      </c>
      <c r="E218" s="269">
        <f t="shared" si="498"/>
        <v>0</v>
      </c>
      <c r="F218" s="269">
        <f t="shared" si="498"/>
        <v>-5020.5</v>
      </c>
      <c r="G218" s="269">
        <f t="shared" si="498"/>
        <v>0</v>
      </c>
      <c r="H218" s="269">
        <f t="shared" si="498"/>
        <v>56710.413499999791</v>
      </c>
      <c r="J218" s="269">
        <f t="shared" ref="J218:P218" si="499">(J82+J88)-(J216+J209)</f>
        <v>1338503.990734376</v>
      </c>
      <c r="K218" s="269">
        <f t="shared" si="499"/>
        <v>-960049.28000000026</v>
      </c>
      <c r="L218" s="269">
        <f t="shared" si="499"/>
        <v>-168040.66799999995</v>
      </c>
      <c r="M218" s="269">
        <f t="shared" si="499"/>
        <v>0</v>
      </c>
      <c r="N218" s="269">
        <f t="shared" si="499"/>
        <v>0</v>
      </c>
      <c r="O218" s="269">
        <f t="shared" si="499"/>
        <v>0</v>
      </c>
      <c r="P218" s="269">
        <f t="shared" si="499"/>
        <v>210414.04273437709</v>
      </c>
      <c r="R218" s="269">
        <f t="shared" ref="R218:X218" si="500">(R82+R88)-(R216+R209)</f>
        <v>655904.18174999952</v>
      </c>
      <c r="S218" s="269">
        <f t="shared" si="500"/>
        <v>-483339.98750000005</v>
      </c>
      <c r="T218" s="269">
        <f t="shared" si="500"/>
        <v>-76234</v>
      </c>
      <c r="U218" s="269">
        <f t="shared" si="500"/>
        <v>0</v>
      </c>
      <c r="V218" s="269">
        <f t="shared" si="500"/>
        <v>0</v>
      </c>
      <c r="W218" s="269">
        <f t="shared" si="500"/>
        <v>0</v>
      </c>
      <c r="X218" s="269">
        <f t="shared" si="500"/>
        <v>96330.194250000641</v>
      </c>
      <c r="Z218" s="269">
        <f t="shared" ref="Z218:AF218" si="501">(Z82+Z88)-(Z216+Z209)</f>
        <v>665411.17942500114</v>
      </c>
      <c r="AA218" s="269">
        <f t="shared" si="501"/>
        <v>-496223.92500000005</v>
      </c>
      <c r="AB218" s="269">
        <f t="shared" si="501"/>
        <v>-75338.22</v>
      </c>
      <c r="AC218" s="269">
        <f t="shared" si="501"/>
        <v>0</v>
      </c>
      <c r="AD218" s="269">
        <f t="shared" si="501"/>
        <v>0</v>
      </c>
      <c r="AE218" s="269">
        <f t="shared" si="501"/>
        <v>0</v>
      </c>
      <c r="AF218" s="269">
        <f t="shared" si="501"/>
        <v>93849.034425001591</v>
      </c>
      <c r="AH218" s="269">
        <f t="shared" ref="AH218:AN218" si="502">(AH82+AH88)-(AH216+AH209)</f>
        <v>1278963.6895000003</v>
      </c>
      <c r="AI218" s="269">
        <f t="shared" si="502"/>
        <v>-1170606.25</v>
      </c>
      <c r="AJ218" s="269">
        <f t="shared" si="502"/>
        <v>-99938.039999999979</v>
      </c>
      <c r="AK218" s="269">
        <f t="shared" si="502"/>
        <v>0</v>
      </c>
      <c r="AL218" s="269">
        <f t="shared" si="502"/>
        <v>0</v>
      </c>
      <c r="AM218" s="269">
        <f t="shared" si="502"/>
        <v>0</v>
      </c>
      <c r="AN218" s="269">
        <f t="shared" si="502"/>
        <v>8419.3994999974966</v>
      </c>
      <c r="AP218" s="269">
        <f t="shared" ref="AP218:AV218" si="503">(AP82+AP88)-(AP216+AP209)</f>
        <v>90128.674999999814</v>
      </c>
      <c r="AQ218" s="269">
        <f t="shared" si="503"/>
        <v>-329699.25</v>
      </c>
      <c r="AR218" s="269">
        <f t="shared" si="503"/>
        <v>-31615.299999999988</v>
      </c>
      <c r="AS218" s="269">
        <f t="shared" si="503"/>
        <v>0</v>
      </c>
      <c r="AT218" s="269">
        <f t="shared" si="503"/>
        <v>-48535.537500000006</v>
      </c>
      <c r="AU218" s="269">
        <f t="shared" si="503"/>
        <v>0</v>
      </c>
      <c r="AV218" s="269">
        <f t="shared" si="503"/>
        <v>-319721.41249999963</v>
      </c>
      <c r="AX218" s="269">
        <f t="shared" ref="AX218:BD218" si="504">(AX82+AX88)-(AX216+AX209)</f>
        <v>186279.89999999991</v>
      </c>
      <c r="AY218" s="269">
        <f t="shared" si="504"/>
        <v>-125260.375</v>
      </c>
      <c r="AZ218" s="269">
        <f t="shared" si="504"/>
        <v>0</v>
      </c>
      <c r="BA218" s="269">
        <f t="shared" si="504"/>
        <v>0</v>
      </c>
      <c r="BB218" s="269">
        <f t="shared" si="504"/>
        <v>-13720.462500000001</v>
      </c>
      <c r="BC218" s="269">
        <f t="shared" si="504"/>
        <v>0</v>
      </c>
      <c r="BD218" s="269">
        <f t="shared" si="504"/>
        <v>47299.0625</v>
      </c>
      <c r="BF218" s="269">
        <f t="shared" ref="BF218:BL218" si="505">(BF82+BF88)-(BF216+BF209)</f>
        <v>758916.875</v>
      </c>
      <c r="BG218" s="269">
        <f t="shared" si="505"/>
        <v>0</v>
      </c>
      <c r="BH218" s="269">
        <f t="shared" si="505"/>
        <v>-38223.125</v>
      </c>
      <c r="BI218" s="269">
        <f t="shared" si="505"/>
        <v>0</v>
      </c>
      <c r="BJ218" s="269">
        <f t="shared" si="505"/>
        <v>-32084.5</v>
      </c>
      <c r="BK218" s="269">
        <f t="shared" si="505"/>
        <v>0</v>
      </c>
      <c r="BL218" s="269">
        <f t="shared" si="505"/>
        <v>688609.25</v>
      </c>
      <c r="BN218" s="269">
        <f t="shared" ref="BN218:BT218" si="506">(BN82+BN88)-(BN216+BN209)</f>
        <v>5782120.4549093693</v>
      </c>
      <c r="BO218" s="269">
        <f t="shared" si="506"/>
        <v>-4263958.567499999</v>
      </c>
      <c r="BP218" s="269">
        <f t="shared" si="506"/>
        <v>-536890.90300000017</v>
      </c>
      <c r="BQ218" s="269">
        <f t="shared" si="506"/>
        <v>0</v>
      </c>
      <c r="BR218" s="269">
        <f t="shared" si="506"/>
        <v>-99361</v>
      </c>
      <c r="BS218" s="269">
        <f t="shared" si="506"/>
        <v>0</v>
      </c>
      <c r="BT218" s="269">
        <f t="shared" si="506"/>
        <v>881909.98440936208</v>
      </c>
      <c r="BV218" s="269">
        <v>54141.424409359694</v>
      </c>
    </row>
    <row r="219" spans="1:75" x14ac:dyDescent="0.25">
      <c r="B219" s="259"/>
      <c r="C219" s="259"/>
      <c r="D219" s="259"/>
      <c r="E219" s="259"/>
      <c r="F219" s="259"/>
      <c r="G219" s="259"/>
      <c r="H219" s="270">
        <f>H218/(H68+H69+H70)</f>
        <v>6.4781731365106867E-3</v>
      </c>
      <c r="J219" s="259"/>
      <c r="K219" s="259"/>
      <c r="L219" s="259"/>
      <c r="M219" s="259"/>
      <c r="N219" s="259"/>
      <c r="O219" s="259"/>
      <c r="P219" s="270">
        <f>P218/(P68+P69+P70)</f>
        <v>8.8913130119982076E-3</v>
      </c>
      <c r="R219" s="259"/>
      <c r="S219" s="259"/>
      <c r="T219" s="259"/>
      <c r="U219" s="259"/>
      <c r="V219" s="259"/>
      <c r="W219" s="259"/>
      <c r="X219" s="270">
        <f>X218/(X68+X69+X70)</f>
        <v>9.7625093490052699E-3</v>
      </c>
      <c r="Z219" s="259"/>
      <c r="AA219" s="259"/>
      <c r="AB219" s="259"/>
      <c r="AC219" s="259"/>
      <c r="AD219" s="259"/>
      <c r="AE219" s="259"/>
      <c r="AF219" s="270">
        <f>AF218/(AF68+AF69+AF70)</f>
        <v>8.2398205276631303E-3</v>
      </c>
      <c r="AH219" s="259"/>
      <c r="AI219" s="259"/>
      <c r="AJ219" s="259"/>
      <c r="AK219" s="259"/>
      <c r="AL219" s="259"/>
      <c r="AM219" s="259"/>
      <c r="AN219" s="270">
        <f>AN218/(AN68+AN69+AN70)</f>
        <v>3.6542213759322226E-4</v>
      </c>
      <c r="AP219" s="259"/>
      <c r="AQ219" s="259"/>
      <c r="AR219" s="259"/>
      <c r="AS219" s="259"/>
      <c r="AT219" s="259"/>
      <c r="AU219" s="259"/>
      <c r="AV219" s="270">
        <f>AV218/(AV68+AV69+AV70)</f>
        <v>-8.8749871616932582E-2</v>
      </c>
      <c r="AX219" s="259"/>
      <c r="AY219" s="259"/>
      <c r="AZ219" s="259"/>
      <c r="BA219" s="259"/>
      <c r="BB219" s="259"/>
      <c r="BC219" s="259"/>
      <c r="BD219" s="270">
        <f>BD218/(BD68+BD69+BD70)</f>
        <v>3.5651395180559431E-2</v>
      </c>
      <c r="BF219" s="259"/>
      <c r="BG219" s="259"/>
      <c r="BH219" s="259"/>
      <c r="BI219" s="259"/>
      <c r="BJ219" s="259"/>
      <c r="BK219" s="259"/>
      <c r="BL219" s="270" t="e">
        <f>BL218/(BL68+BL69+BL70)</f>
        <v>#DIV/0!</v>
      </c>
      <c r="BN219" s="259"/>
      <c r="BO219" s="259"/>
      <c r="BP219" s="259"/>
      <c r="BQ219" s="259"/>
      <c r="BR219" s="259"/>
      <c r="BS219" s="259"/>
      <c r="BT219" s="270">
        <f>BT218/(BT68+BT69+BT70)</f>
        <v>1.0801675430136881E-2</v>
      </c>
      <c r="BV219" s="270">
        <v>6.6228656174401827E-4</v>
      </c>
    </row>
    <row r="220" spans="1:75" x14ac:dyDescent="0.25">
      <c r="A220" s="219" t="str">
        <f>A1</f>
        <v>Pinecrest Academy - FY26</v>
      </c>
      <c r="B220" s="271" t="str">
        <f t="shared" ref="B220:H220" si="507">B20</f>
        <v>Operating</v>
      </c>
      <c r="C220" s="271" t="str">
        <f t="shared" si="507"/>
        <v>SPED</v>
      </c>
      <c r="D220" s="271" t="str">
        <f t="shared" si="507"/>
        <v>NSLP</v>
      </c>
      <c r="E220" s="271" t="str">
        <f t="shared" si="507"/>
        <v>Other</v>
      </c>
      <c r="F220" s="271" t="str">
        <f t="shared" si="507"/>
        <v>Titles/Grants</v>
      </c>
      <c r="G220" s="271" t="str">
        <f t="shared" si="507"/>
        <v>SGF</v>
      </c>
      <c r="H220" s="271" t="str">
        <f t="shared" si="507"/>
        <v>Total (25-26)</v>
      </c>
      <c r="J220" s="271" t="str">
        <f t="shared" ref="J220:P220" si="508">J20</f>
        <v>Operating</v>
      </c>
      <c r="K220" s="271" t="str">
        <f t="shared" si="508"/>
        <v>SPED</v>
      </c>
      <c r="L220" s="271" t="str">
        <f t="shared" si="508"/>
        <v>NSLP</v>
      </c>
      <c r="M220" s="271" t="str">
        <f t="shared" si="508"/>
        <v>Other</v>
      </c>
      <c r="N220" s="271" t="str">
        <f t="shared" si="508"/>
        <v>Titles/Grants</v>
      </c>
      <c r="O220" s="271" t="str">
        <f t="shared" si="508"/>
        <v>SGF</v>
      </c>
      <c r="P220" s="271" t="str">
        <f t="shared" si="508"/>
        <v>Cadence</v>
      </c>
      <c r="R220" s="271" t="str">
        <f t="shared" ref="R220:X220" si="509">R20</f>
        <v>Operating</v>
      </c>
      <c r="S220" s="271" t="str">
        <f t="shared" si="509"/>
        <v>SPED</v>
      </c>
      <c r="T220" s="271" t="str">
        <f t="shared" si="509"/>
        <v>NSLP</v>
      </c>
      <c r="U220" s="271" t="str">
        <f t="shared" si="509"/>
        <v>Other</v>
      </c>
      <c r="V220" s="271" t="str">
        <f t="shared" si="509"/>
        <v>Titles/Grants</v>
      </c>
      <c r="W220" s="271" t="str">
        <f t="shared" si="509"/>
        <v>SGF</v>
      </c>
      <c r="X220" s="271" t="str">
        <f t="shared" si="509"/>
        <v>St. Rose</v>
      </c>
      <c r="Z220" s="271" t="str">
        <f t="shared" ref="Z220:AF220" si="510">Z20</f>
        <v>Operating</v>
      </c>
      <c r="AA220" s="271" t="str">
        <f t="shared" si="510"/>
        <v>SPED</v>
      </c>
      <c r="AB220" s="271" t="str">
        <f t="shared" si="510"/>
        <v>NSLP</v>
      </c>
      <c r="AC220" s="271" t="str">
        <f t="shared" si="510"/>
        <v>Other</v>
      </c>
      <c r="AD220" s="271" t="str">
        <f t="shared" si="510"/>
        <v>Titles/Grants</v>
      </c>
      <c r="AE220" s="271" t="str">
        <f t="shared" si="510"/>
        <v>SGF</v>
      </c>
      <c r="AF220" s="271" t="str">
        <f t="shared" si="510"/>
        <v>Inspirada</v>
      </c>
      <c r="AH220" s="271" t="str">
        <f t="shared" ref="AH220:AN220" si="511">AH20</f>
        <v>Operating</v>
      </c>
      <c r="AI220" s="271" t="str">
        <f t="shared" si="511"/>
        <v>SPED</v>
      </c>
      <c r="AJ220" s="271" t="str">
        <f t="shared" si="511"/>
        <v>NSLP</v>
      </c>
      <c r="AK220" s="271" t="str">
        <f t="shared" si="511"/>
        <v>Other</v>
      </c>
      <c r="AL220" s="271" t="str">
        <f t="shared" si="511"/>
        <v>Titles/Grants</v>
      </c>
      <c r="AM220" s="271" t="str">
        <f t="shared" si="511"/>
        <v>SGF</v>
      </c>
      <c r="AN220" s="271" t="str">
        <f t="shared" si="511"/>
        <v>Sloan</v>
      </c>
      <c r="AP220" s="271" t="str">
        <f t="shared" ref="AP220:AV220" si="512">AP20</f>
        <v>Operating</v>
      </c>
      <c r="AQ220" s="271" t="str">
        <f t="shared" si="512"/>
        <v>SPED</v>
      </c>
      <c r="AR220" s="271" t="str">
        <f t="shared" si="512"/>
        <v>NSLP</v>
      </c>
      <c r="AS220" s="271" t="str">
        <f t="shared" si="512"/>
        <v>Other</v>
      </c>
      <c r="AT220" s="271" t="str">
        <f t="shared" si="512"/>
        <v>Titles/Grants</v>
      </c>
      <c r="AU220" s="271" t="str">
        <f t="shared" si="512"/>
        <v>SGF</v>
      </c>
      <c r="AV220" s="271" t="str">
        <f t="shared" si="512"/>
        <v>Springs</v>
      </c>
      <c r="AX220" s="271" t="str">
        <f t="shared" ref="AX220:BD220" si="513">AX20</f>
        <v>Operating</v>
      </c>
      <c r="AY220" s="271" t="str">
        <f t="shared" si="513"/>
        <v>SPED</v>
      </c>
      <c r="AZ220" s="271" t="str">
        <f t="shared" si="513"/>
        <v>NSLP</v>
      </c>
      <c r="BA220" s="271" t="str">
        <f t="shared" si="513"/>
        <v>Other</v>
      </c>
      <c r="BB220" s="271" t="str">
        <f t="shared" si="513"/>
        <v>Titles/Grants</v>
      </c>
      <c r="BC220" s="271" t="str">
        <f t="shared" si="513"/>
        <v>SGF</v>
      </c>
      <c r="BD220" s="271" t="str">
        <f t="shared" si="513"/>
        <v>Virtual</v>
      </c>
      <c r="BF220" s="271" t="str">
        <f t="shared" ref="BF220:BL220" si="514">BF20</f>
        <v>Operating</v>
      </c>
      <c r="BG220" s="271" t="str">
        <f t="shared" si="514"/>
        <v>SPED</v>
      </c>
      <c r="BH220" s="271" t="str">
        <f t="shared" si="514"/>
        <v>NSLP</v>
      </c>
      <c r="BI220" s="271" t="str">
        <f t="shared" si="514"/>
        <v>Other</v>
      </c>
      <c r="BJ220" s="271" t="str">
        <f t="shared" si="514"/>
        <v>Titles/Grants</v>
      </c>
      <c r="BK220" s="271" t="str">
        <f t="shared" si="514"/>
        <v>SGF</v>
      </c>
      <c r="BL220" s="271" t="str">
        <f t="shared" si="514"/>
        <v>Central</v>
      </c>
      <c r="BN220" s="271" t="str">
        <f t="shared" ref="BN220:BT220" si="515">BN20</f>
        <v>Operating</v>
      </c>
      <c r="BO220" s="271" t="str">
        <f t="shared" si="515"/>
        <v>SPED</v>
      </c>
      <c r="BP220" s="271" t="str">
        <f t="shared" si="515"/>
        <v>NSLP</v>
      </c>
      <c r="BQ220" s="271" t="str">
        <f t="shared" si="515"/>
        <v>Other</v>
      </c>
      <c r="BR220" s="271" t="str">
        <f t="shared" si="515"/>
        <v>Titles/Grants</v>
      </c>
      <c r="BS220" s="271" t="str">
        <f t="shared" si="515"/>
        <v>SGF</v>
      </c>
      <c r="BT220" s="271" t="str">
        <f t="shared" si="515"/>
        <v>System</v>
      </c>
      <c r="BV220" s="271" t="s">
        <v>320</v>
      </c>
    </row>
    <row r="222" spans="1:75" x14ac:dyDescent="0.25">
      <c r="D222" s="225">
        <f>(D80+D81)-(D180+D181)</f>
        <v>46079.999999999971</v>
      </c>
      <c r="L222" s="225">
        <f>(L80+L81)-(L180+L181)</f>
        <v>88875</v>
      </c>
      <c r="AB222" s="225">
        <f>AB81-AB181</f>
        <v>22888.799999999988</v>
      </c>
      <c r="AR222" s="225">
        <f>(AR80+AR81)-(AR180+AR181)</f>
        <v>15995.700000000012</v>
      </c>
    </row>
    <row r="223" spans="1:75" x14ac:dyDescent="0.25">
      <c r="T223" s="225"/>
      <c r="U223" s="274"/>
      <c r="AJ223" s="225"/>
    </row>
    <row r="224" spans="1:75" x14ac:dyDescent="0.25">
      <c r="U224" s="274"/>
    </row>
    <row r="225" spans="16:40" x14ac:dyDescent="0.25">
      <c r="P225" s="225"/>
      <c r="U225" s="274"/>
    </row>
    <row r="226" spans="16:40" x14ac:dyDescent="0.25">
      <c r="U226" s="274"/>
    </row>
    <row r="227" spans="16:40" x14ac:dyDescent="0.25">
      <c r="U227" s="274"/>
    </row>
    <row r="228" spans="16:40" x14ac:dyDescent="0.25">
      <c r="U228" s="274"/>
    </row>
    <row r="229" spans="16:40" x14ac:dyDescent="0.25">
      <c r="U229" s="274"/>
    </row>
    <row r="230" spans="16:40" x14ac:dyDescent="0.25">
      <c r="U230" s="274"/>
      <c r="AN230" s="225"/>
    </row>
    <row r="231" spans="16:40" x14ac:dyDescent="0.25">
      <c r="U231" s="274"/>
      <c r="AN231" s="225"/>
    </row>
    <row r="232" spans="16:40" x14ac:dyDescent="0.25">
      <c r="U232" s="274"/>
    </row>
    <row r="233" spans="16:40" x14ac:dyDescent="0.25">
      <c r="U233" s="274"/>
    </row>
    <row r="234" spans="16:40" x14ac:dyDescent="0.25">
      <c r="U234" s="274"/>
    </row>
    <row r="244" spans="13:13" x14ac:dyDescent="0.25">
      <c r="M244" s="116">
        <v>9416</v>
      </c>
    </row>
    <row r="245" spans="13:13" x14ac:dyDescent="0.25">
      <c r="M245" s="116">
        <v>30</v>
      </c>
    </row>
    <row r="246" spans="13:13" x14ac:dyDescent="0.25">
      <c r="M246" s="274">
        <f>M244*M245</f>
        <v>282480</v>
      </c>
    </row>
  </sheetData>
  <printOptions horizontalCentered="1"/>
  <pageMargins left="0.7" right="0.7" top="1" bottom="0.75" header="0.3" footer="0.3"/>
  <pageSetup scale="43" orientation="portrait" r:id="rId1"/>
  <rowBreaks count="2" manualBreakCount="2">
    <brk id="90" max="16383" man="1"/>
    <brk id="172" max="16383" man="1"/>
  </rowBreaks>
  <colBreaks count="8" manualBreakCount="8">
    <brk id="8" max="1048575" man="1"/>
    <brk id="16" max="1048575" man="1"/>
    <brk id="24" max="1048575" man="1"/>
    <brk id="32" max="1048575" man="1"/>
    <brk id="40" max="1048575" man="1"/>
    <brk id="48" max="1048575" man="1"/>
    <brk id="56" max="1048575" man="1"/>
    <brk id="6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D05B-658B-4832-B155-69C9E08A3701}">
  <dimension ref="A1:BU246"/>
  <sheetViews>
    <sheetView topLeftCell="A36" workbookViewId="0">
      <pane xSplit="1" topLeftCell="AT1" activePane="topRight" state="frozen"/>
      <selection activeCell="A54" sqref="A54"/>
      <selection pane="topRight" activeCell="AX51" sqref="AX51"/>
    </sheetView>
  </sheetViews>
  <sheetFormatPr defaultRowHeight="15.75" x14ac:dyDescent="0.25"/>
  <cols>
    <col min="1" max="1" width="55.5703125" style="187" bestFit="1" customWidth="1"/>
    <col min="2" max="8" width="20.85546875" style="116" customWidth="1"/>
    <col min="10" max="16" width="20.85546875" style="116" customWidth="1"/>
    <col min="18" max="24" width="20.85546875" style="116" customWidth="1"/>
    <col min="25" max="25" width="12.7109375" bestFit="1" customWidth="1"/>
    <col min="26" max="32" width="20.85546875" style="116" customWidth="1"/>
    <col min="34" max="40" width="20.85546875" style="116" customWidth="1"/>
    <col min="42" max="48" width="20.85546875" style="116" customWidth="1"/>
    <col min="50" max="56" width="20.85546875" style="116" customWidth="1"/>
    <col min="58" max="64" width="20.85546875" style="116" customWidth="1"/>
    <col min="66" max="72" width="20.85546875" style="116" customWidth="1"/>
  </cols>
  <sheetData>
    <row r="1" spans="1:72" x14ac:dyDescent="0.25">
      <c r="A1" s="181" t="s">
        <v>363</v>
      </c>
      <c r="B1" s="181" t="s">
        <v>59</v>
      </c>
      <c r="J1" s="181" t="s">
        <v>60</v>
      </c>
      <c r="R1" s="181" t="s">
        <v>62</v>
      </c>
      <c r="Z1" s="181" t="s">
        <v>63</v>
      </c>
      <c r="AH1" s="181" t="s">
        <v>316</v>
      </c>
      <c r="AP1" s="181" t="s">
        <v>317</v>
      </c>
      <c r="AX1" s="181" t="s">
        <v>318</v>
      </c>
      <c r="BF1" s="181" t="s">
        <v>322</v>
      </c>
      <c r="BN1" s="181" t="s">
        <v>326</v>
      </c>
    </row>
    <row r="2" spans="1:72" x14ac:dyDescent="0.25">
      <c r="A2" s="182" t="s">
        <v>172</v>
      </c>
      <c r="B2" s="220">
        <v>9486</v>
      </c>
      <c r="J2" s="220">
        <f>B2</f>
        <v>9486</v>
      </c>
      <c r="R2" s="220">
        <f>J2</f>
        <v>9486</v>
      </c>
      <c r="Z2" s="220">
        <f>R2</f>
        <v>9486</v>
      </c>
      <c r="AH2" s="220">
        <f>Z2</f>
        <v>9486</v>
      </c>
      <c r="AP2" s="220">
        <f>AH2</f>
        <v>9486</v>
      </c>
      <c r="AX2" s="220">
        <f>AP2</f>
        <v>9486</v>
      </c>
      <c r="BF2" s="220">
        <f>AX2</f>
        <v>9486</v>
      </c>
      <c r="BN2" s="220">
        <f>BF2</f>
        <v>9486</v>
      </c>
    </row>
    <row r="3" spans="1:72" x14ac:dyDescent="0.25">
      <c r="A3" s="183" t="s">
        <v>75</v>
      </c>
      <c r="B3" s="221">
        <f>B4+B5+B6+B7+B8+B9+B10+B11+B12+B13+B14+B15+B16</f>
        <v>927</v>
      </c>
      <c r="C3" s="222"/>
      <c r="F3" s="181"/>
      <c r="G3" s="181"/>
      <c r="H3" s="181"/>
      <c r="J3" s="221">
        <f>J4+J5+J6+J7+J8+J9+J10+J11+J12+J13+J14+J15+J16</f>
        <v>2514</v>
      </c>
      <c r="K3" s="222"/>
      <c r="N3" s="181"/>
      <c r="O3" s="181"/>
      <c r="P3" s="181"/>
      <c r="R3" s="221">
        <f>R4+R5+R6+R7+R8+R9+R10+R11+R12+R13+R14+R15+R16</f>
        <v>1030</v>
      </c>
      <c r="S3" s="273"/>
      <c r="V3" s="181"/>
      <c r="W3" s="181"/>
      <c r="X3" s="181"/>
      <c r="Z3" s="221">
        <f>Z4+Z5+Z6+Z7+Z8+Z9+Z10+Z11+Z12+Z13+Z14+Z15+Z16</f>
        <v>1198</v>
      </c>
      <c r="AA3" s="273"/>
      <c r="AD3" s="181"/>
      <c r="AE3" s="181"/>
      <c r="AF3" s="181"/>
      <c r="AH3" s="221">
        <f>AH4+AH5+AH6+AH7+AH8+AH9+AH10+AH11+AH12+AH13+AH14+AH15+AH16</f>
        <v>2498</v>
      </c>
      <c r="AI3" s="273"/>
      <c r="AL3" s="181"/>
      <c r="AM3" s="181"/>
      <c r="AN3" s="181"/>
      <c r="AP3" s="221">
        <f>AP4+AP5+AP6+AP7+AP8+AP9+AP10+AP11+AP12+AP13+AP14+AP15+AP16</f>
        <v>688</v>
      </c>
      <c r="AQ3" s="273"/>
      <c r="AT3" s="181"/>
      <c r="AU3" s="181"/>
      <c r="AV3" s="181"/>
      <c r="AX3" s="221">
        <f>AX4+AX5+AX6+AX7+AX8+AX9+AX10+AX11+AX12+AX13+AX14+AX15+AX16</f>
        <v>182</v>
      </c>
      <c r="AY3" s="273"/>
      <c r="BB3" s="181"/>
      <c r="BC3" s="181"/>
      <c r="BD3" s="181"/>
      <c r="BF3" s="221">
        <f>BF4+BF5+BF6+BF7+BF8+BF9+BF10+BF11+BF12+BF13+BF14+BF15+BF16</f>
        <v>0</v>
      </c>
      <c r="BG3" s="222"/>
      <c r="BJ3" s="181"/>
      <c r="BK3" s="181"/>
      <c r="BL3" s="181"/>
      <c r="BN3" s="221">
        <f>BN4+BN5+BN6+BN7+BN8+BN9+BN10+BN11+BN12+BN13+BN14+BN15+BN16</f>
        <v>9037</v>
      </c>
      <c r="BO3" s="222"/>
      <c r="BR3" s="181"/>
      <c r="BS3" s="181"/>
      <c r="BT3" s="181"/>
    </row>
    <row r="4" spans="1:72" x14ac:dyDescent="0.25">
      <c r="A4" s="184" t="s">
        <v>77</v>
      </c>
      <c r="B4" s="223">
        <v>150</v>
      </c>
      <c r="C4" s="222"/>
      <c r="D4" s="187"/>
      <c r="E4" s="224"/>
      <c r="F4" s="225"/>
      <c r="G4" s="225"/>
      <c r="H4" s="225"/>
      <c r="J4" s="223">
        <f>125+5</f>
        <v>130</v>
      </c>
      <c r="K4" s="273">
        <v>5</v>
      </c>
      <c r="L4" s="187"/>
      <c r="M4" s="224"/>
      <c r="N4" s="225"/>
      <c r="O4" s="225"/>
      <c r="P4" s="225"/>
      <c r="R4" s="223">
        <f>100</f>
        <v>100</v>
      </c>
      <c r="S4" s="273">
        <v>4</v>
      </c>
      <c r="T4" s="187"/>
      <c r="U4" s="224"/>
      <c r="V4" s="225"/>
      <c r="W4" s="225"/>
      <c r="X4" s="225"/>
      <c r="Z4" s="223">
        <v>125</v>
      </c>
      <c r="AA4" s="273">
        <v>4</v>
      </c>
      <c r="AB4" s="187"/>
      <c r="AC4" s="224"/>
      <c r="AD4" s="225"/>
      <c r="AE4" s="225"/>
      <c r="AF4" s="225"/>
      <c r="AH4" s="227">
        <v>125</v>
      </c>
      <c r="AI4" s="273">
        <v>5</v>
      </c>
      <c r="AJ4" s="277"/>
      <c r="AK4" s="276"/>
      <c r="AL4" s="225"/>
      <c r="AM4" s="225"/>
      <c r="AN4" s="225"/>
      <c r="AP4" s="223">
        <v>100</v>
      </c>
      <c r="AQ4" s="273">
        <v>4</v>
      </c>
      <c r="AR4" s="187"/>
      <c r="AS4" s="224"/>
      <c r="AT4" s="225"/>
      <c r="AU4" s="225"/>
      <c r="AV4" s="225"/>
      <c r="AX4" s="223">
        <v>0</v>
      </c>
      <c r="AY4" s="273"/>
      <c r="AZ4" s="187"/>
      <c r="BA4" s="224"/>
      <c r="BB4" s="225"/>
      <c r="BC4" s="225"/>
      <c r="BD4" s="225"/>
      <c r="BF4" s="223"/>
      <c r="BG4" s="222"/>
      <c r="BH4" s="187"/>
      <c r="BI4" s="283"/>
      <c r="BJ4" s="225"/>
      <c r="BK4" s="225"/>
      <c r="BL4" s="225"/>
      <c r="BN4" s="223">
        <f>B4+J4+R4+Z4+AH4+AP4+AX4+BF4</f>
        <v>730</v>
      </c>
      <c r="BO4" s="222"/>
      <c r="BP4" s="187"/>
      <c r="BQ4" s="283"/>
      <c r="BR4" s="225"/>
      <c r="BS4" s="225"/>
      <c r="BT4" s="225"/>
    </row>
    <row r="5" spans="1:72" x14ac:dyDescent="0.25">
      <c r="A5" s="183" t="s">
        <v>78</v>
      </c>
      <c r="B5" s="223">
        <v>154</v>
      </c>
      <c r="C5" s="222"/>
      <c r="D5" s="187"/>
      <c r="E5" s="224"/>
      <c r="F5" s="225"/>
      <c r="G5" s="225"/>
      <c r="H5" s="225"/>
      <c r="J5" s="223">
        <f>130+5</f>
        <v>135</v>
      </c>
      <c r="K5" s="273">
        <v>5</v>
      </c>
      <c r="L5" s="187"/>
      <c r="M5" s="224"/>
      <c r="N5" s="225"/>
      <c r="O5" s="225"/>
      <c r="P5" s="225"/>
      <c r="R5" s="223">
        <v>104</v>
      </c>
      <c r="S5" s="273">
        <v>4</v>
      </c>
      <c r="T5" s="187"/>
      <c r="U5" s="224"/>
      <c r="V5" s="225"/>
      <c r="W5" s="225"/>
      <c r="X5" s="225"/>
      <c r="Z5" s="223">
        <v>129</v>
      </c>
      <c r="AA5" s="273">
        <v>4</v>
      </c>
      <c r="AB5" s="187"/>
      <c r="AC5" s="224"/>
      <c r="AD5" s="225"/>
      <c r="AE5" s="225"/>
      <c r="AF5" s="225"/>
      <c r="AH5" s="227">
        <v>125</v>
      </c>
      <c r="AI5" s="273">
        <v>5</v>
      </c>
      <c r="AJ5" s="278"/>
      <c r="AK5" s="276"/>
      <c r="AL5" s="225"/>
      <c r="AM5" s="225"/>
      <c r="AN5" s="225"/>
      <c r="AP5" s="223">
        <v>104</v>
      </c>
      <c r="AQ5" s="273">
        <v>4</v>
      </c>
      <c r="AR5" s="187"/>
      <c r="AS5" s="224"/>
      <c r="AT5" s="225"/>
      <c r="AU5" s="225"/>
      <c r="AV5" s="225"/>
      <c r="AX5" s="223">
        <v>0</v>
      </c>
      <c r="AY5" s="273"/>
      <c r="AZ5" s="187"/>
      <c r="BA5" s="224"/>
      <c r="BB5" s="225"/>
      <c r="BC5" s="225"/>
      <c r="BD5" s="225"/>
      <c r="BF5" s="223"/>
      <c r="BG5" s="222"/>
      <c r="BH5" s="187"/>
      <c r="BI5" s="283"/>
      <c r="BJ5" s="225"/>
      <c r="BK5" s="225"/>
      <c r="BL5" s="225"/>
      <c r="BN5" s="223">
        <f t="shared" ref="BN5:BN16" si="0">B5+J5+R5+Z5+AH5+AP5+AX5+BF5</f>
        <v>751</v>
      </c>
      <c r="BO5" s="222"/>
      <c r="BP5" s="187"/>
      <c r="BQ5" s="283"/>
      <c r="BR5" s="225"/>
      <c r="BS5" s="225"/>
      <c r="BT5" s="225"/>
    </row>
    <row r="6" spans="1:72" x14ac:dyDescent="0.25">
      <c r="A6" s="183" t="s">
        <v>79</v>
      </c>
      <c r="B6" s="223">
        <v>154</v>
      </c>
      <c r="C6" s="222"/>
      <c r="D6" s="187"/>
      <c r="E6" s="224"/>
      <c r="F6" s="225"/>
      <c r="G6" s="225"/>
      <c r="H6" s="225"/>
      <c r="J6" s="223">
        <f>135+10</f>
        <v>145</v>
      </c>
      <c r="K6" s="273">
        <v>5</v>
      </c>
      <c r="L6" s="187"/>
      <c r="M6" s="224"/>
      <c r="N6" s="225"/>
      <c r="O6" s="225"/>
      <c r="P6" s="225"/>
      <c r="R6" s="223">
        <v>108</v>
      </c>
      <c r="S6" s="273">
        <v>4</v>
      </c>
      <c r="T6" s="187"/>
      <c r="U6" s="224"/>
      <c r="V6" s="225"/>
      <c r="W6" s="225"/>
      <c r="X6" s="225"/>
      <c r="Z6" s="223">
        <v>129</v>
      </c>
      <c r="AA6" s="273">
        <v>4</v>
      </c>
      <c r="AB6" s="187"/>
      <c r="AC6" s="224"/>
      <c r="AD6" s="225"/>
      <c r="AE6" s="225"/>
      <c r="AF6" s="225"/>
      <c r="AH6" s="227">
        <v>132</v>
      </c>
      <c r="AI6" s="273">
        <v>5</v>
      </c>
      <c r="AJ6" s="278"/>
      <c r="AK6" s="276"/>
      <c r="AL6" s="225"/>
      <c r="AM6" s="225"/>
      <c r="AN6" s="225"/>
      <c r="AP6" s="223">
        <v>104</v>
      </c>
      <c r="AQ6" s="273">
        <v>4</v>
      </c>
      <c r="AR6" s="187"/>
      <c r="AS6" s="224"/>
      <c r="AT6" s="225"/>
      <c r="AU6" s="225"/>
      <c r="AV6" s="225"/>
      <c r="AX6" s="223">
        <v>0</v>
      </c>
      <c r="AY6" s="273"/>
      <c r="AZ6" s="187"/>
      <c r="BA6" s="224"/>
      <c r="BB6" s="225"/>
      <c r="BC6" s="225"/>
      <c r="BD6" s="225"/>
      <c r="BF6" s="223"/>
      <c r="BG6" s="222"/>
      <c r="BH6" s="187"/>
      <c r="BI6" s="283"/>
      <c r="BJ6" s="225"/>
      <c r="BK6" s="225"/>
      <c r="BL6" s="225"/>
      <c r="BN6" s="223">
        <f t="shared" si="0"/>
        <v>772</v>
      </c>
      <c r="BO6" s="222"/>
      <c r="BP6" s="187"/>
      <c r="BQ6" s="283"/>
      <c r="BR6" s="225"/>
      <c r="BS6" s="225"/>
      <c r="BT6" s="225"/>
    </row>
    <row r="7" spans="1:72" x14ac:dyDescent="0.25">
      <c r="A7" s="185" t="s">
        <v>80</v>
      </c>
      <c r="B7" s="223">
        <v>159</v>
      </c>
      <c r="C7" s="222"/>
      <c r="D7" s="187"/>
      <c r="E7" s="224"/>
      <c r="F7" s="225"/>
      <c r="G7" s="225"/>
      <c r="H7" s="225"/>
      <c r="J7" s="223">
        <f>135+10</f>
        <v>145</v>
      </c>
      <c r="K7" s="273">
        <v>5</v>
      </c>
      <c r="L7" s="187"/>
      <c r="M7" s="224"/>
      <c r="N7" s="225"/>
      <c r="O7" s="225"/>
      <c r="P7" s="225"/>
      <c r="R7" s="223">
        <f>112+4</f>
        <v>116</v>
      </c>
      <c r="S7" s="273">
        <v>4</v>
      </c>
      <c r="T7" s="187"/>
      <c r="U7" s="224"/>
      <c r="V7" s="225"/>
      <c r="W7" s="225"/>
      <c r="X7" s="225"/>
      <c r="Z7" s="223">
        <v>129</v>
      </c>
      <c r="AA7" s="273">
        <v>4</v>
      </c>
      <c r="AB7" s="187"/>
      <c r="AC7" s="224"/>
      <c r="AD7" s="225"/>
      <c r="AE7" s="225"/>
      <c r="AF7" s="225"/>
      <c r="AH7" s="227">
        <v>137</v>
      </c>
      <c r="AI7" s="273">
        <v>5</v>
      </c>
      <c r="AJ7" s="277"/>
      <c r="AK7" s="276"/>
      <c r="AL7" s="225"/>
      <c r="AM7" s="225"/>
      <c r="AN7" s="225"/>
      <c r="AP7" s="223">
        <v>108</v>
      </c>
      <c r="AQ7" s="273">
        <v>4</v>
      </c>
      <c r="AR7" s="187"/>
      <c r="AS7" s="224"/>
      <c r="AT7" s="225"/>
      <c r="AU7" s="225"/>
      <c r="AV7" s="225"/>
      <c r="AX7" s="223">
        <v>0</v>
      </c>
      <c r="AY7" s="273"/>
      <c r="AZ7" s="187"/>
      <c r="BA7" s="224"/>
      <c r="BB7" s="225"/>
      <c r="BC7" s="225"/>
      <c r="BD7" s="225"/>
      <c r="BF7" s="223"/>
      <c r="BG7" s="222"/>
      <c r="BH7" s="187"/>
      <c r="BI7" s="283"/>
      <c r="BJ7" s="225"/>
      <c r="BK7" s="225"/>
      <c r="BL7" s="225"/>
      <c r="BN7" s="223">
        <f t="shared" si="0"/>
        <v>794</v>
      </c>
      <c r="BO7" s="222"/>
      <c r="BP7" s="187"/>
      <c r="BQ7" s="283"/>
      <c r="BR7" s="225"/>
      <c r="BS7" s="225"/>
      <c r="BT7" s="225"/>
    </row>
    <row r="8" spans="1:72" x14ac:dyDescent="0.25">
      <c r="A8" s="185" t="s">
        <v>81</v>
      </c>
      <c r="B8" s="223">
        <f>158</f>
        <v>158</v>
      </c>
      <c r="C8" s="222"/>
      <c r="D8" s="187"/>
      <c r="E8" s="224"/>
      <c r="F8" s="225"/>
      <c r="G8" s="225"/>
      <c r="H8" s="225"/>
      <c r="J8" s="223">
        <f>140+10</f>
        <v>150</v>
      </c>
      <c r="K8" s="273">
        <v>5</v>
      </c>
      <c r="L8" s="187"/>
      <c r="M8" s="224"/>
      <c r="N8" s="225"/>
      <c r="O8" s="225"/>
      <c r="P8" s="225"/>
      <c r="R8" s="223">
        <f>111+4</f>
        <v>115</v>
      </c>
      <c r="S8" s="273">
        <v>4</v>
      </c>
      <c r="T8" s="187"/>
      <c r="U8" s="224"/>
      <c r="V8" s="225"/>
      <c r="W8" s="225"/>
      <c r="X8" s="225"/>
      <c r="Z8" s="223">
        <v>128</v>
      </c>
      <c r="AA8" s="273">
        <v>4</v>
      </c>
      <c r="AB8" s="187"/>
      <c r="AC8" s="224"/>
      <c r="AD8" s="225"/>
      <c r="AE8" s="225"/>
      <c r="AF8" s="225"/>
      <c r="AH8" s="227">
        <f>135+5</f>
        <v>140</v>
      </c>
      <c r="AI8" s="273">
        <v>5</v>
      </c>
      <c r="AJ8" s="277"/>
      <c r="AK8" s="276"/>
      <c r="AL8" s="225"/>
      <c r="AM8" s="225"/>
      <c r="AN8" s="225"/>
      <c r="AP8" s="223">
        <v>104</v>
      </c>
      <c r="AQ8" s="273">
        <v>4</v>
      </c>
      <c r="AR8" s="187"/>
      <c r="AS8" s="224"/>
      <c r="AT8" s="225"/>
      <c r="AU8" s="225"/>
      <c r="AV8" s="225"/>
      <c r="AX8" s="223">
        <v>0</v>
      </c>
      <c r="AY8" s="273"/>
      <c r="AZ8" s="187"/>
      <c r="BA8" s="224"/>
      <c r="BB8" s="225"/>
      <c r="BC8" s="225"/>
      <c r="BD8" s="225"/>
      <c r="BF8" s="223"/>
      <c r="BG8" s="222"/>
      <c r="BH8" s="187"/>
      <c r="BI8" s="283"/>
      <c r="BJ8" s="225"/>
      <c r="BK8" s="225"/>
      <c r="BL8" s="225"/>
      <c r="BN8" s="223">
        <f t="shared" si="0"/>
        <v>795</v>
      </c>
      <c r="BO8" s="222"/>
      <c r="BP8" s="187"/>
      <c r="BQ8" s="283"/>
      <c r="BR8" s="225"/>
      <c r="BS8" s="225"/>
      <c r="BT8" s="225"/>
    </row>
    <row r="9" spans="1:72" x14ac:dyDescent="0.25">
      <c r="A9" s="185" t="s">
        <v>82</v>
      </c>
      <c r="B9" s="223">
        <v>152</v>
      </c>
      <c r="C9" s="226"/>
      <c r="D9" s="187"/>
      <c r="E9" s="224"/>
      <c r="F9" s="225"/>
      <c r="G9" s="225"/>
      <c r="H9" s="225"/>
      <c r="J9" s="223">
        <f>145+10</f>
        <v>155</v>
      </c>
      <c r="K9" s="273">
        <v>5</v>
      </c>
      <c r="L9" s="187"/>
      <c r="M9" s="224"/>
      <c r="N9" s="225"/>
      <c r="O9" s="225"/>
      <c r="P9" s="225"/>
      <c r="R9" s="223">
        <v>120</v>
      </c>
      <c r="S9" s="273">
        <v>4</v>
      </c>
      <c r="T9" s="187"/>
      <c r="U9" s="224"/>
      <c r="V9" s="225"/>
      <c r="W9" s="225"/>
      <c r="X9" s="225"/>
      <c r="Z9" s="223">
        <v>135</v>
      </c>
      <c r="AA9" s="273">
        <v>4</v>
      </c>
      <c r="AB9" s="187"/>
      <c r="AC9" s="224"/>
      <c r="AD9" s="225"/>
      <c r="AE9" s="225"/>
      <c r="AF9" s="225"/>
      <c r="AH9" s="227">
        <f>135+5+2</f>
        <v>142</v>
      </c>
      <c r="AI9" s="273">
        <v>5</v>
      </c>
      <c r="AJ9" s="277"/>
      <c r="AK9" s="276"/>
      <c r="AL9" s="225"/>
      <c r="AM9" s="225"/>
      <c r="AN9" s="225"/>
      <c r="AP9" s="223">
        <v>75</v>
      </c>
      <c r="AQ9" s="273">
        <v>3</v>
      </c>
      <c r="AR9" s="187"/>
      <c r="AS9" s="224"/>
      <c r="AT9" s="225"/>
      <c r="AU9" s="225"/>
      <c r="AV9" s="225"/>
      <c r="AX9" s="223">
        <v>0</v>
      </c>
      <c r="AY9" s="273"/>
      <c r="AZ9" s="187"/>
      <c r="BA9" s="224"/>
      <c r="BB9" s="225"/>
      <c r="BC9" s="225"/>
      <c r="BD9" s="225"/>
      <c r="BF9" s="223"/>
      <c r="BG9" s="222"/>
      <c r="BH9" s="187"/>
      <c r="BI9" s="283"/>
      <c r="BJ9" s="225"/>
      <c r="BK9" s="225"/>
      <c r="BL9" s="225"/>
      <c r="BN9" s="223">
        <f t="shared" si="0"/>
        <v>779</v>
      </c>
      <c r="BO9" s="222"/>
      <c r="BP9" s="187"/>
      <c r="BQ9" s="283"/>
      <c r="BR9" s="225"/>
      <c r="BS9" s="225"/>
      <c r="BT9" s="225"/>
    </row>
    <row r="10" spans="1:72" x14ac:dyDescent="0.25">
      <c r="A10" s="185" t="s">
        <v>83</v>
      </c>
      <c r="B10" s="223">
        <v>0</v>
      </c>
      <c r="C10" s="222"/>
      <c r="D10" s="187"/>
      <c r="E10" s="224"/>
      <c r="F10" s="225"/>
      <c r="G10" s="225"/>
      <c r="H10" s="225"/>
      <c r="J10" s="223">
        <v>300</v>
      </c>
      <c r="K10" s="273">
        <v>10</v>
      </c>
      <c r="L10" s="187"/>
      <c r="M10" s="224"/>
      <c r="N10" s="225"/>
      <c r="O10" s="225"/>
      <c r="P10" s="225"/>
      <c r="R10" s="223">
        <v>123</v>
      </c>
      <c r="S10" s="273">
        <v>4</v>
      </c>
      <c r="T10" s="187"/>
      <c r="U10" s="224"/>
      <c r="V10" s="225"/>
      <c r="W10" s="225"/>
      <c r="X10" s="225"/>
      <c r="Z10" s="223">
        <v>140</v>
      </c>
      <c r="AA10" s="273">
        <v>4</v>
      </c>
      <c r="AB10" s="187"/>
      <c r="AC10" s="224"/>
      <c r="AD10" s="225"/>
      <c r="AE10" s="225"/>
      <c r="AF10" s="225"/>
      <c r="AH10" s="227">
        <v>150</v>
      </c>
      <c r="AI10" s="273">
        <v>5</v>
      </c>
      <c r="AJ10" s="277"/>
      <c r="AK10" s="276"/>
      <c r="AL10" s="225"/>
      <c r="AM10" s="225"/>
      <c r="AN10" s="225"/>
      <c r="AP10" s="223">
        <v>93</v>
      </c>
      <c r="AQ10" s="273">
        <v>3</v>
      </c>
      <c r="AR10" s="187"/>
      <c r="AS10" s="224"/>
      <c r="AT10" s="225"/>
      <c r="AU10" s="225"/>
      <c r="AV10" s="225"/>
      <c r="AX10" s="223">
        <v>36</v>
      </c>
      <c r="AY10" s="273"/>
      <c r="AZ10" s="187"/>
      <c r="BA10" s="224"/>
      <c r="BB10" s="225"/>
      <c r="BC10" s="225"/>
      <c r="BD10" s="225"/>
      <c r="BF10" s="223"/>
      <c r="BG10" s="222"/>
      <c r="BH10" s="187"/>
      <c r="BI10" s="283"/>
      <c r="BJ10" s="225"/>
      <c r="BK10" s="225"/>
      <c r="BL10" s="225"/>
      <c r="BN10" s="223">
        <f t="shared" si="0"/>
        <v>842</v>
      </c>
      <c r="BO10" s="222"/>
      <c r="BP10" s="187"/>
      <c r="BQ10" s="283"/>
      <c r="BR10" s="225"/>
      <c r="BS10" s="225"/>
      <c r="BT10" s="225"/>
    </row>
    <row r="11" spans="1:72" x14ac:dyDescent="0.25">
      <c r="A11" s="185" t="s">
        <v>84</v>
      </c>
      <c r="B11" s="223">
        <v>0</v>
      </c>
      <c r="C11" s="222"/>
      <c r="D11" s="219"/>
      <c r="E11" s="224"/>
      <c r="F11" s="225"/>
      <c r="G11" s="225"/>
      <c r="H11" s="225"/>
      <c r="J11" s="223">
        <v>279</v>
      </c>
      <c r="K11" s="273">
        <v>9</v>
      </c>
      <c r="L11" s="219"/>
      <c r="M11" s="224"/>
      <c r="N11" s="225"/>
      <c r="O11" s="225"/>
      <c r="P11" s="225"/>
      <c r="R11" s="223">
        <v>122</v>
      </c>
      <c r="S11" s="273">
        <v>4</v>
      </c>
      <c r="T11" s="219"/>
      <c r="U11" s="224"/>
      <c r="V11" s="225"/>
      <c r="W11" s="225"/>
      <c r="X11" s="225"/>
      <c r="Z11" s="223">
        <v>143</v>
      </c>
      <c r="AA11" s="273">
        <v>4</v>
      </c>
      <c r="AB11" s="219"/>
      <c r="AC11" s="224"/>
      <c r="AD11" s="225"/>
      <c r="AE11" s="225"/>
      <c r="AF11" s="225"/>
      <c r="AH11" s="227">
        <v>208</v>
      </c>
      <c r="AI11" s="273">
        <v>7</v>
      </c>
      <c r="AJ11" s="277"/>
      <c r="AK11" s="276"/>
      <c r="AL11" s="225"/>
      <c r="AM11" s="225"/>
      <c r="AN11" s="225"/>
      <c r="AP11" s="223">
        <v>0</v>
      </c>
      <c r="AQ11" s="273"/>
      <c r="AR11" s="219"/>
      <c r="AS11" s="224"/>
      <c r="AT11" s="225"/>
      <c r="AU11" s="225"/>
      <c r="AV11" s="225"/>
      <c r="AX11" s="223">
        <v>36</v>
      </c>
      <c r="AY11" s="273"/>
      <c r="AZ11" s="219"/>
      <c r="BA11" s="224"/>
      <c r="BB11" s="225"/>
      <c r="BC11" s="225"/>
      <c r="BD11" s="225"/>
      <c r="BF11" s="223"/>
      <c r="BG11" s="222"/>
      <c r="BH11" s="219"/>
      <c r="BI11" s="283"/>
      <c r="BJ11" s="225"/>
      <c r="BK11" s="225"/>
      <c r="BL11" s="225"/>
      <c r="BN11" s="223">
        <f t="shared" si="0"/>
        <v>788</v>
      </c>
      <c r="BO11" s="222"/>
      <c r="BP11" s="219"/>
      <c r="BQ11" s="283"/>
      <c r="BR11" s="225"/>
      <c r="BS11" s="225"/>
      <c r="BT11" s="225"/>
    </row>
    <row r="12" spans="1:72" x14ac:dyDescent="0.25">
      <c r="A12" s="185" t="s">
        <v>85</v>
      </c>
      <c r="B12" s="223">
        <v>0</v>
      </c>
      <c r="C12" s="222"/>
      <c r="D12" s="187"/>
      <c r="E12" s="224"/>
      <c r="F12" s="225"/>
      <c r="G12" s="225"/>
      <c r="H12" s="225"/>
      <c r="J12" s="223">
        <v>279</v>
      </c>
      <c r="K12" s="273">
        <v>9</v>
      </c>
      <c r="L12" s="187"/>
      <c r="M12" s="224"/>
      <c r="N12" s="225"/>
      <c r="O12" s="225"/>
      <c r="P12" s="225"/>
      <c r="R12" s="223">
        <v>122</v>
      </c>
      <c r="S12" s="273">
        <v>4</v>
      </c>
      <c r="T12" s="187"/>
      <c r="U12" s="224"/>
      <c r="V12" s="225"/>
      <c r="W12" s="225"/>
      <c r="X12" s="225"/>
      <c r="Z12" s="223">
        <v>140</v>
      </c>
      <c r="AA12" s="273">
        <v>4</v>
      </c>
      <c r="AB12" s="187"/>
      <c r="AC12" s="224"/>
      <c r="AD12" s="225"/>
      <c r="AE12" s="225"/>
      <c r="AF12" s="225"/>
      <c r="AH12" s="227">
        <v>184</v>
      </c>
      <c r="AI12" s="273">
        <v>6</v>
      </c>
      <c r="AJ12" s="277"/>
      <c r="AK12" s="276"/>
      <c r="AL12" s="225"/>
      <c r="AM12" s="225"/>
      <c r="AN12" s="225"/>
      <c r="AP12" s="223">
        <v>0</v>
      </c>
      <c r="AQ12" s="273"/>
      <c r="AR12" s="187"/>
      <c r="AS12" s="224"/>
      <c r="AT12" s="225"/>
      <c r="AU12" s="225"/>
      <c r="AV12" s="225"/>
      <c r="AX12" s="223">
        <v>36</v>
      </c>
      <c r="AY12" s="273"/>
      <c r="AZ12" s="187"/>
      <c r="BA12" s="224"/>
      <c r="BB12" s="225"/>
      <c r="BC12" s="225"/>
      <c r="BD12" s="225"/>
      <c r="BF12" s="223"/>
      <c r="BG12" s="222"/>
      <c r="BH12" s="187"/>
      <c r="BI12" s="283"/>
      <c r="BJ12" s="225"/>
      <c r="BK12" s="225"/>
      <c r="BL12" s="225"/>
      <c r="BN12" s="223">
        <f t="shared" si="0"/>
        <v>761</v>
      </c>
      <c r="BO12" s="222"/>
      <c r="BP12" s="187"/>
      <c r="BQ12" s="283"/>
      <c r="BR12" s="225"/>
      <c r="BS12" s="225"/>
      <c r="BT12" s="225"/>
    </row>
    <row r="13" spans="1:72" x14ac:dyDescent="0.25">
      <c r="A13" s="185" t="s">
        <v>86</v>
      </c>
      <c r="B13" s="227">
        <v>0</v>
      </c>
      <c r="C13" s="222"/>
      <c r="D13" s="219"/>
      <c r="E13" s="224"/>
      <c r="F13" s="225"/>
      <c r="G13" s="225"/>
      <c r="H13" s="225"/>
      <c r="J13" s="227">
        <v>217</v>
      </c>
      <c r="K13" s="273">
        <v>7</v>
      </c>
      <c r="L13" s="219"/>
      <c r="M13" s="224"/>
      <c r="N13" s="225"/>
      <c r="O13" s="225"/>
      <c r="P13" s="225"/>
      <c r="R13" s="227">
        <v>0</v>
      </c>
      <c r="S13" s="273"/>
      <c r="T13" s="219"/>
      <c r="U13" s="224"/>
      <c r="V13" s="225"/>
      <c r="W13" s="225"/>
      <c r="X13" s="225"/>
      <c r="Z13" s="227">
        <v>0</v>
      </c>
      <c r="AA13" s="273"/>
      <c r="AB13" s="219"/>
      <c r="AC13" s="224"/>
      <c r="AD13" s="225"/>
      <c r="AE13" s="225"/>
      <c r="AF13" s="225"/>
      <c r="AH13" s="227">
        <v>329</v>
      </c>
      <c r="AI13" s="273">
        <v>10</v>
      </c>
      <c r="AJ13" s="277"/>
      <c r="AK13" s="276"/>
      <c r="AL13" s="225"/>
      <c r="AM13" s="225"/>
      <c r="AN13" s="225"/>
      <c r="AP13" s="227">
        <v>0</v>
      </c>
      <c r="AQ13" s="273"/>
      <c r="AR13" s="219"/>
      <c r="AS13" s="224"/>
      <c r="AT13" s="225"/>
      <c r="AU13" s="225"/>
      <c r="AV13" s="225"/>
      <c r="AX13" s="227">
        <v>25</v>
      </c>
      <c r="AY13" s="273"/>
      <c r="AZ13" s="219"/>
      <c r="BA13" s="224"/>
      <c r="BB13" s="225"/>
      <c r="BC13" s="225"/>
      <c r="BD13" s="225"/>
      <c r="BF13" s="227"/>
      <c r="BG13" s="222"/>
      <c r="BH13" s="219"/>
      <c r="BI13" s="283"/>
      <c r="BJ13" s="225"/>
      <c r="BK13" s="225"/>
      <c r="BL13" s="225"/>
      <c r="BN13" s="223">
        <f t="shared" si="0"/>
        <v>571</v>
      </c>
      <c r="BO13" s="222"/>
      <c r="BP13" s="219"/>
      <c r="BQ13" s="283"/>
      <c r="BR13" s="225"/>
      <c r="BS13" s="225"/>
      <c r="BT13" s="225"/>
    </row>
    <row r="14" spans="1:72" x14ac:dyDescent="0.25">
      <c r="A14" s="185" t="s">
        <v>87</v>
      </c>
      <c r="B14" s="227">
        <v>0</v>
      </c>
      <c r="C14" s="222"/>
      <c r="J14" s="227">
        <v>217</v>
      </c>
      <c r="K14" s="273">
        <v>7</v>
      </c>
      <c r="R14" s="227">
        <v>0</v>
      </c>
      <c r="S14" s="273"/>
      <c r="Z14" s="227">
        <v>0</v>
      </c>
      <c r="AA14" s="273"/>
      <c r="AH14" s="227">
        <v>319</v>
      </c>
      <c r="AI14" s="273">
        <v>10</v>
      </c>
      <c r="AJ14" s="277"/>
      <c r="AP14" s="227">
        <v>0</v>
      </c>
      <c r="AQ14" s="273"/>
      <c r="AX14" s="227">
        <v>24</v>
      </c>
      <c r="AY14" s="273"/>
      <c r="BF14" s="227">
        <v>0</v>
      </c>
      <c r="BG14" s="222"/>
      <c r="BN14" s="223">
        <f t="shared" si="0"/>
        <v>560</v>
      </c>
      <c r="BO14" s="222"/>
    </row>
    <row r="15" spans="1:72" x14ac:dyDescent="0.25">
      <c r="A15" s="185" t="s">
        <v>88</v>
      </c>
      <c r="B15" s="227">
        <v>0</v>
      </c>
      <c r="C15" s="222"/>
      <c r="D15" s="222"/>
      <c r="E15" s="222"/>
      <c r="F15" s="222"/>
      <c r="J15" s="227">
        <v>188</v>
      </c>
      <c r="K15" s="273">
        <v>7</v>
      </c>
      <c r="L15" s="222"/>
      <c r="M15" s="222"/>
      <c r="N15" s="222"/>
      <c r="R15" s="227">
        <v>0</v>
      </c>
      <c r="S15" s="273"/>
      <c r="T15" s="222"/>
      <c r="U15" s="222"/>
      <c r="V15" s="222"/>
      <c r="Z15" s="227">
        <v>0</v>
      </c>
      <c r="AA15" s="273"/>
      <c r="AB15" s="222"/>
      <c r="AC15" s="222"/>
      <c r="AD15" s="222"/>
      <c r="AH15" s="227">
        <v>292</v>
      </c>
      <c r="AI15" s="273">
        <v>10</v>
      </c>
      <c r="AJ15" s="277"/>
      <c r="AK15" s="222"/>
      <c r="AL15" s="222"/>
      <c r="AP15" s="227">
        <v>0</v>
      </c>
      <c r="AQ15" s="273"/>
      <c r="AR15" s="222"/>
      <c r="AS15" s="222"/>
      <c r="AT15" s="222"/>
      <c r="AX15" s="227">
        <v>15</v>
      </c>
      <c r="AY15" s="273"/>
      <c r="AZ15" s="222"/>
      <c r="BA15" s="222"/>
      <c r="BB15" s="222"/>
      <c r="BF15" s="227">
        <v>0</v>
      </c>
      <c r="BG15" s="222"/>
      <c r="BH15" s="222"/>
      <c r="BI15" s="222"/>
      <c r="BJ15" s="222"/>
      <c r="BN15" s="223">
        <f t="shared" si="0"/>
        <v>495</v>
      </c>
      <c r="BO15" s="222"/>
      <c r="BP15" s="222"/>
      <c r="BQ15" s="222"/>
      <c r="BR15" s="222"/>
    </row>
    <row r="16" spans="1:72" x14ac:dyDescent="0.25">
      <c r="A16" s="185" t="s">
        <v>89</v>
      </c>
      <c r="B16" s="227">
        <v>0</v>
      </c>
      <c r="C16" s="222"/>
      <c r="D16" s="222"/>
      <c r="E16" s="222"/>
      <c r="F16" s="222"/>
      <c r="J16" s="227">
        <v>174</v>
      </c>
      <c r="K16" s="273">
        <v>6</v>
      </c>
      <c r="L16" s="222"/>
      <c r="M16" s="222"/>
      <c r="N16" s="222"/>
      <c r="R16" s="227">
        <v>0</v>
      </c>
      <c r="S16" s="273"/>
      <c r="T16" s="222"/>
      <c r="U16" s="222"/>
      <c r="V16" s="222"/>
      <c r="Z16" s="227">
        <v>0</v>
      </c>
      <c r="AA16" s="273"/>
      <c r="AB16" s="222"/>
      <c r="AC16" s="222"/>
      <c r="AD16" s="222"/>
      <c r="AH16" s="227">
        <v>215</v>
      </c>
      <c r="AI16" s="273">
        <v>8</v>
      </c>
      <c r="AJ16" s="277"/>
      <c r="AK16" s="222"/>
      <c r="AL16" s="222"/>
      <c r="AP16" s="227">
        <v>0</v>
      </c>
      <c r="AQ16" s="273"/>
      <c r="AR16" s="222"/>
      <c r="AS16" s="222"/>
      <c r="AT16" s="222"/>
      <c r="AX16" s="227">
        <v>10</v>
      </c>
      <c r="AY16" s="273"/>
      <c r="AZ16" s="222"/>
      <c r="BA16" s="222"/>
      <c r="BB16" s="222"/>
      <c r="BF16" s="227">
        <v>0</v>
      </c>
      <c r="BG16" s="222"/>
      <c r="BH16" s="222"/>
      <c r="BI16" s="222"/>
      <c r="BJ16" s="222"/>
      <c r="BN16" s="223">
        <f t="shared" si="0"/>
        <v>399</v>
      </c>
      <c r="BO16" s="222"/>
      <c r="BP16" s="222"/>
      <c r="BQ16" s="222"/>
      <c r="BR16" s="222"/>
    </row>
    <row r="17" spans="1:72" x14ac:dyDescent="0.25">
      <c r="A17" s="186" t="s">
        <v>75</v>
      </c>
      <c r="B17" s="221">
        <f>SUM(B4:B16)</f>
        <v>927</v>
      </c>
      <c r="C17" s="226">
        <f>B17*0.025</f>
        <v>23.175000000000001</v>
      </c>
      <c r="D17" s="222"/>
      <c r="E17" s="222"/>
      <c r="F17" s="222"/>
      <c r="J17" s="221">
        <f>SUM(J4:J16)</f>
        <v>2514</v>
      </c>
      <c r="K17" s="273">
        <f>SUM(K4:K16)</f>
        <v>85</v>
      </c>
      <c r="L17" s="226">
        <f>J17*0.025</f>
        <v>62.85</v>
      </c>
      <c r="M17" s="222"/>
      <c r="N17" s="222"/>
      <c r="R17" s="221">
        <f>SUM(R4:R16)</f>
        <v>1030</v>
      </c>
      <c r="S17" s="273">
        <f>SUM(S4:S16)</f>
        <v>36</v>
      </c>
      <c r="T17" s="222"/>
      <c r="U17" s="222"/>
      <c r="V17" s="222"/>
      <c r="Z17" s="221">
        <f>SUM(Z4:Z16)</f>
        <v>1198</v>
      </c>
      <c r="AA17" s="273">
        <f>SUM(AA4:AA16)</f>
        <v>36</v>
      </c>
      <c r="AB17" s="222"/>
      <c r="AC17" s="222"/>
      <c r="AD17" s="222"/>
      <c r="AH17" s="221">
        <f>SUM(AH4:AH16)</f>
        <v>2498</v>
      </c>
      <c r="AI17" s="273">
        <f>SUM(AI4:AI16)</f>
        <v>86</v>
      </c>
      <c r="AJ17" s="222"/>
      <c r="AK17" s="222"/>
      <c r="AL17" s="222"/>
      <c r="AP17" s="221">
        <f>SUM(AP4:AP16)</f>
        <v>688</v>
      </c>
      <c r="AQ17" s="273">
        <f>SUM(AQ4:AQ16)</f>
        <v>26</v>
      </c>
      <c r="AR17" s="222"/>
      <c r="AS17" s="222"/>
      <c r="AT17" s="222"/>
      <c r="AX17" s="221">
        <f>SUM(AX4:AX16)</f>
        <v>182</v>
      </c>
      <c r="AY17" s="273">
        <f>SUM(AY4:AY16)</f>
        <v>0</v>
      </c>
      <c r="AZ17" s="222"/>
      <c r="BA17" s="222"/>
      <c r="BB17" s="222"/>
      <c r="BF17" s="221">
        <f>SUM(BF4:BF16)</f>
        <v>0</v>
      </c>
      <c r="BG17" s="222"/>
      <c r="BH17" s="222"/>
      <c r="BI17" s="222"/>
      <c r="BJ17" s="222"/>
      <c r="BN17" s="221">
        <f>SUM(BN4:BN16)</f>
        <v>9037</v>
      </c>
      <c r="BO17" s="222"/>
      <c r="BP17" s="222"/>
      <c r="BQ17" s="222"/>
      <c r="BR17" s="222"/>
    </row>
    <row r="20" spans="1:72" x14ac:dyDescent="0.25">
      <c r="A20" s="188" t="s">
        <v>173</v>
      </c>
      <c r="B20" s="228" t="s">
        <v>309</v>
      </c>
      <c r="C20" s="228" t="s">
        <v>310</v>
      </c>
      <c r="D20" s="228" t="s">
        <v>311</v>
      </c>
      <c r="E20" s="228" t="s">
        <v>312</v>
      </c>
      <c r="F20" s="228" t="s">
        <v>313</v>
      </c>
      <c r="G20" s="228" t="s">
        <v>314</v>
      </c>
      <c r="H20" s="228" t="s">
        <v>59</v>
      </c>
      <c r="J20" s="228" t="s">
        <v>309</v>
      </c>
      <c r="K20" s="228" t="s">
        <v>310</v>
      </c>
      <c r="L20" s="228" t="s">
        <v>311</v>
      </c>
      <c r="M20" s="228" t="s">
        <v>312</v>
      </c>
      <c r="N20" s="228" t="s">
        <v>313</v>
      </c>
      <c r="O20" s="228" t="s">
        <v>314</v>
      </c>
      <c r="P20" s="228" t="s">
        <v>60</v>
      </c>
      <c r="R20" s="228" t="s">
        <v>309</v>
      </c>
      <c r="S20" s="228" t="s">
        <v>310</v>
      </c>
      <c r="T20" s="228" t="s">
        <v>311</v>
      </c>
      <c r="U20" s="228" t="s">
        <v>312</v>
      </c>
      <c r="V20" s="228" t="s">
        <v>313</v>
      </c>
      <c r="W20" s="228" t="s">
        <v>314</v>
      </c>
      <c r="X20" s="228" t="s">
        <v>62</v>
      </c>
      <c r="Z20" s="228" t="s">
        <v>309</v>
      </c>
      <c r="AA20" s="228" t="s">
        <v>310</v>
      </c>
      <c r="AB20" s="228" t="s">
        <v>311</v>
      </c>
      <c r="AC20" s="228" t="s">
        <v>312</v>
      </c>
      <c r="AD20" s="228" t="s">
        <v>313</v>
      </c>
      <c r="AE20" s="228" t="s">
        <v>314</v>
      </c>
      <c r="AF20" s="228" t="s">
        <v>63</v>
      </c>
      <c r="AH20" s="228" t="s">
        <v>309</v>
      </c>
      <c r="AI20" s="228" t="s">
        <v>310</v>
      </c>
      <c r="AJ20" s="228" t="s">
        <v>311</v>
      </c>
      <c r="AK20" s="228" t="s">
        <v>312</v>
      </c>
      <c r="AL20" s="228" t="s">
        <v>313</v>
      </c>
      <c r="AM20" s="228" t="s">
        <v>314</v>
      </c>
      <c r="AN20" s="228" t="s">
        <v>316</v>
      </c>
      <c r="AP20" s="228" t="s">
        <v>309</v>
      </c>
      <c r="AQ20" s="228" t="s">
        <v>310</v>
      </c>
      <c r="AR20" s="228" t="s">
        <v>311</v>
      </c>
      <c r="AS20" s="228" t="s">
        <v>312</v>
      </c>
      <c r="AT20" s="228" t="s">
        <v>313</v>
      </c>
      <c r="AU20" s="228" t="s">
        <v>314</v>
      </c>
      <c r="AV20" s="228" t="s">
        <v>317</v>
      </c>
      <c r="AX20" s="228" t="s">
        <v>309</v>
      </c>
      <c r="AY20" s="228" t="s">
        <v>310</v>
      </c>
      <c r="AZ20" s="228" t="s">
        <v>311</v>
      </c>
      <c r="BA20" s="228" t="s">
        <v>312</v>
      </c>
      <c r="BB20" s="228" t="s">
        <v>313</v>
      </c>
      <c r="BC20" s="228" t="s">
        <v>314</v>
      </c>
      <c r="BD20" s="228" t="s">
        <v>318</v>
      </c>
      <c r="BF20" s="228" t="s">
        <v>309</v>
      </c>
      <c r="BG20" s="228" t="s">
        <v>310</v>
      </c>
      <c r="BH20" s="228" t="s">
        <v>311</v>
      </c>
      <c r="BI20" s="228" t="s">
        <v>312</v>
      </c>
      <c r="BJ20" s="228" t="s">
        <v>313</v>
      </c>
      <c r="BK20" s="228" t="s">
        <v>314</v>
      </c>
      <c r="BL20" s="228" t="str">
        <f>BF1</f>
        <v>Central</v>
      </c>
      <c r="BN20" s="228" t="s">
        <v>309</v>
      </c>
      <c r="BO20" s="228" t="s">
        <v>310</v>
      </c>
      <c r="BP20" s="228" t="s">
        <v>311</v>
      </c>
      <c r="BQ20" s="228" t="s">
        <v>312</v>
      </c>
      <c r="BR20" s="228" t="s">
        <v>313</v>
      </c>
      <c r="BS20" s="228" t="s">
        <v>314</v>
      </c>
      <c r="BT20" s="228" t="str">
        <f>BN1</f>
        <v>System</v>
      </c>
    </row>
    <row r="21" spans="1:72" x14ac:dyDescent="0.25">
      <c r="A21" s="185" t="s">
        <v>174</v>
      </c>
      <c r="B21" s="227"/>
      <c r="C21" s="227">
        <v>112</v>
      </c>
      <c r="D21" s="227"/>
      <c r="E21" s="227"/>
      <c r="F21" s="227"/>
      <c r="G21" s="227"/>
      <c r="H21" s="227">
        <f>SUM(B21:G21)</f>
        <v>112</v>
      </c>
      <c r="J21" s="227"/>
      <c r="K21" s="227">
        <v>285</v>
      </c>
      <c r="L21" s="227"/>
      <c r="M21" s="227"/>
      <c r="N21" s="227"/>
      <c r="O21" s="227"/>
      <c r="P21" s="227">
        <f>SUM(J21:O21)</f>
        <v>285</v>
      </c>
      <c r="R21" s="227"/>
      <c r="S21" s="227">
        <v>80</v>
      </c>
      <c r="T21" s="227"/>
      <c r="U21" s="227"/>
      <c r="V21" s="227"/>
      <c r="W21" s="227"/>
      <c r="X21" s="227">
        <f>SUM(R21:W21)</f>
        <v>80</v>
      </c>
      <c r="Z21" s="227"/>
      <c r="AA21" s="227">
        <v>100</v>
      </c>
      <c r="AB21" s="227"/>
      <c r="AC21" s="227"/>
      <c r="AD21" s="227"/>
      <c r="AE21" s="227"/>
      <c r="AF21" s="227">
        <f>SUM(Z21:AE21)</f>
        <v>100</v>
      </c>
      <c r="AH21" s="227"/>
      <c r="AI21" s="227">
        <v>205</v>
      </c>
      <c r="AJ21" s="227"/>
      <c r="AK21" s="227"/>
      <c r="AL21" s="227"/>
      <c r="AM21" s="227"/>
      <c r="AN21" s="227">
        <f>SUM(AH21:AM21)</f>
        <v>205</v>
      </c>
      <c r="AP21" s="227"/>
      <c r="AQ21" s="227">
        <v>35</v>
      </c>
      <c r="AR21" s="227"/>
      <c r="AS21" s="227"/>
      <c r="AT21" s="227"/>
      <c r="AU21" s="227"/>
      <c r="AV21" s="227">
        <f>SUM(AP21:AU21)</f>
        <v>35</v>
      </c>
      <c r="AX21" s="227"/>
      <c r="AY21" s="227">
        <v>21</v>
      </c>
      <c r="AZ21" s="227"/>
      <c r="BA21" s="227"/>
      <c r="BB21" s="227"/>
      <c r="BC21" s="227"/>
      <c r="BD21" s="227">
        <f>SUM(AX21:BC21)</f>
        <v>21</v>
      </c>
      <c r="BF21" s="229"/>
      <c r="BG21" s="229"/>
      <c r="BH21" s="229"/>
      <c r="BI21" s="227"/>
      <c r="BJ21" s="227"/>
      <c r="BK21" s="227"/>
      <c r="BL21" s="227">
        <f>SUM(BF21:BK21)</f>
        <v>0</v>
      </c>
      <c r="BN21" s="229">
        <f>B21+J21+R21+Z21+AH21+AP21+AX21+BF21</f>
        <v>0</v>
      </c>
      <c r="BO21" s="229">
        <f t="shared" ref="BO21:BS25" si="1">C21+K21+S21+AA21+AI21+AQ21+AY21+BG21</f>
        <v>838</v>
      </c>
      <c r="BP21" s="229">
        <f t="shared" si="1"/>
        <v>0</v>
      </c>
      <c r="BQ21" s="229">
        <f t="shared" si="1"/>
        <v>0</v>
      </c>
      <c r="BR21" s="229">
        <f t="shared" si="1"/>
        <v>0</v>
      </c>
      <c r="BS21" s="229">
        <f t="shared" si="1"/>
        <v>0</v>
      </c>
      <c r="BT21" s="227">
        <f>SUM(BN21:BS21)</f>
        <v>838</v>
      </c>
    </row>
    <row r="22" spans="1:72" x14ac:dyDescent="0.25">
      <c r="A22" s="185" t="s">
        <v>175</v>
      </c>
      <c r="B22" s="227">
        <v>35</v>
      </c>
      <c r="C22" s="227"/>
      <c r="D22" s="227"/>
      <c r="E22" s="227"/>
      <c r="F22" s="227"/>
      <c r="G22" s="227"/>
      <c r="H22" s="227">
        <f>SUM(B22:G22)</f>
        <v>35</v>
      </c>
      <c r="J22" s="227">
        <v>50</v>
      </c>
      <c r="K22" s="227"/>
      <c r="L22" s="227"/>
      <c r="M22" s="227"/>
      <c r="N22" s="227"/>
      <c r="O22" s="227"/>
      <c r="P22" s="227">
        <f>SUM(J22:O22)</f>
        <v>50</v>
      </c>
      <c r="R22" s="227">
        <v>22</v>
      </c>
      <c r="S22" s="227"/>
      <c r="T22" s="227"/>
      <c r="U22" s="227"/>
      <c r="V22" s="227"/>
      <c r="W22" s="227"/>
      <c r="X22" s="227">
        <f>SUM(R22:W22)</f>
        <v>22</v>
      </c>
      <c r="Z22" s="227">
        <v>42</v>
      </c>
      <c r="AA22" s="227"/>
      <c r="AB22" s="227"/>
      <c r="AC22" s="227"/>
      <c r="AD22" s="227"/>
      <c r="AE22" s="227"/>
      <c r="AF22" s="227">
        <f>SUM(Z22:AE22)</f>
        <v>42</v>
      </c>
      <c r="AH22" s="227">
        <v>45</v>
      </c>
      <c r="AI22" s="227"/>
      <c r="AJ22" s="227"/>
      <c r="AK22" s="227"/>
      <c r="AL22" s="227"/>
      <c r="AM22" s="227"/>
      <c r="AN22" s="227">
        <f>SUM(AH22:AM22)</f>
        <v>45</v>
      </c>
      <c r="AP22" s="227">
        <v>33</v>
      </c>
      <c r="AQ22" s="227"/>
      <c r="AR22" s="227"/>
      <c r="AS22" s="227"/>
      <c r="AT22" s="227"/>
      <c r="AU22" s="227"/>
      <c r="AV22" s="227">
        <f>SUM(AP22:AU22)</f>
        <v>33</v>
      </c>
      <c r="AX22" s="227">
        <v>2</v>
      </c>
      <c r="AY22" s="227"/>
      <c r="AZ22" s="227"/>
      <c r="BA22" s="227"/>
      <c r="BB22" s="227"/>
      <c r="BC22" s="227"/>
      <c r="BD22" s="227">
        <f>SUM(AX22:BC22)</f>
        <v>2</v>
      </c>
      <c r="BF22" s="229"/>
      <c r="BG22" s="229"/>
      <c r="BH22" s="229"/>
      <c r="BI22" s="227"/>
      <c r="BJ22" s="227"/>
      <c r="BK22" s="227"/>
      <c r="BL22" s="227">
        <f>SUM(BF22:BK22)</f>
        <v>0</v>
      </c>
      <c r="BN22" s="229">
        <f t="shared" ref="BN22:BN25" si="2">B22+J22+R22+Z22+AH22+AP22+AX22+BF22</f>
        <v>229</v>
      </c>
      <c r="BO22" s="229">
        <f t="shared" si="1"/>
        <v>0</v>
      </c>
      <c r="BP22" s="229">
        <f t="shared" si="1"/>
        <v>0</v>
      </c>
      <c r="BQ22" s="229">
        <f t="shared" si="1"/>
        <v>0</v>
      </c>
      <c r="BR22" s="229">
        <f t="shared" si="1"/>
        <v>0</v>
      </c>
      <c r="BS22" s="229">
        <f t="shared" si="1"/>
        <v>0</v>
      </c>
      <c r="BT22" s="227">
        <f>SUM(BN22:BS22)</f>
        <v>229</v>
      </c>
    </row>
    <row r="23" spans="1:72" x14ac:dyDescent="0.25">
      <c r="A23" s="185" t="s">
        <v>176</v>
      </c>
      <c r="B23" s="229">
        <v>33</v>
      </c>
      <c r="C23" s="229"/>
      <c r="D23" s="229"/>
      <c r="E23" s="229"/>
      <c r="F23" s="229"/>
      <c r="G23" s="229"/>
      <c r="H23" s="227">
        <f>SUM(B23:G23)</f>
        <v>33</v>
      </c>
      <c r="J23" s="229">
        <v>40</v>
      </c>
      <c r="K23" s="229"/>
      <c r="L23" s="229"/>
      <c r="M23" s="229"/>
      <c r="N23" s="229"/>
      <c r="O23" s="229"/>
      <c r="P23" s="227">
        <f>SUM(J23:O23)</f>
        <v>40</v>
      </c>
      <c r="R23" s="229">
        <v>67</v>
      </c>
      <c r="S23" s="229"/>
      <c r="T23" s="229"/>
      <c r="U23" s="229"/>
      <c r="V23" s="229"/>
      <c r="W23" s="229"/>
      <c r="X23" s="227">
        <f>SUM(R23:W23)</f>
        <v>67</v>
      </c>
      <c r="Z23" s="229">
        <v>56</v>
      </c>
      <c r="AA23" s="229"/>
      <c r="AB23" s="229"/>
      <c r="AC23" s="229"/>
      <c r="AD23" s="229"/>
      <c r="AE23" s="229"/>
      <c r="AF23" s="227">
        <f>SUM(Z23:AE23)</f>
        <v>56</v>
      </c>
      <c r="AH23" s="229">
        <v>89</v>
      </c>
      <c r="AI23" s="229"/>
      <c r="AJ23" s="229"/>
      <c r="AK23" s="229"/>
      <c r="AL23" s="229"/>
      <c r="AM23" s="229"/>
      <c r="AN23" s="227">
        <f>SUM(AH23:AM23)</f>
        <v>89</v>
      </c>
      <c r="AP23" s="229">
        <v>0</v>
      </c>
      <c r="AQ23" s="229"/>
      <c r="AR23" s="229"/>
      <c r="AS23" s="229"/>
      <c r="AT23" s="229"/>
      <c r="AU23" s="229"/>
      <c r="AV23" s="227">
        <f>SUM(AP23:AU23)</f>
        <v>0</v>
      </c>
      <c r="AX23" s="229">
        <v>0</v>
      </c>
      <c r="AY23" s="229"/>
      <c r="AZ23" s="229"/>
      <c r="BA23" s="229"/>
      <c r="BB23" s="229"/>
      <c r="BC23" s="229"/>
      <c r="BD23" s="227">
        <f>SUM(AX23:BC23)</f>
        <v>0</v>
      </c>
      <c r="BF23" s="229"/>
      <c r="BG23" s="229"/>
      <c r="BH23" s="229"/>
      <c r="BI23" s="229"/>
      <c r="BJ23" s="229"/>
      <c r="BK23" s="229"/>
      <c r="BL23" s="227">
        <f>SUM(BF23:BK23)</f>
        <v>0</v>
      </c>
      <c r="BN23" s="229">
        <f t="shared" si="2"/>
        <v>285</v>
      </c>
      <c r="BO23" s="229">
        <f t="shared" si="1"/>
        <v>0</v>
      </c>
      <c r="BP23" s="229">
        <f t="shared" si="1"/>
        <v>0</v>
      </c>
      <c r="BQ23" s="229">
        <f t="shared" si="1"/>
        <v>0</v>
      </c>
      <c r="BR23" s="229">
        <f t="shared" si="1"/>
        <v>0</v>
      </c>
      <c r="BS23" s="229">
        <f t="shared" si="1"/>
        <v>0</v>
      </c>
      <c r="BT23" s="227">
        <f>SUM(BN23:BS23)</f>
        <v>285</v>
      </c>
    </row>
    <row r="24" spans="1:72" x14ac:dyDescent="0.25">
      <c r="A24" s="185" t="s">
        <v>177</v>
      </c>
      <c r="B24" s="229">
        <v>20</v>
      </c>
      <c r="C24" s="229"/>
      <c r="D24" s="229"/>
      <c r="E24" s="229"/>
      <c r="F24" s="229"/>
      <c r="G24" s="229"/>
      <c r="H24" s="227">
        <f>SUM(B24:G24)</f>
        <v>20</v>
      </c>
      <c r="J24" s="229">
        <f>55+60</f>
        <v>115</v>
      </c>
      <c r="K24" s="229"/>
      <c r="L24" s="229"/>
      <c r="M24" s="229"/>
      <c r="N24" s="229"/>
      <c r="O24" s="229"/>
      <c r="P24" s="227">
        <f>SUM(J24:O24)</f>
        <v>115</v>
      </c>
      <c r="R24" s="229">
        <v>8</v>
      </c>
      <c r="S24" s="229"/>
      <c r="T24" s="229"/>
      <c r="U24" s="229"/>
      <c r="V24" s="229"/>
      <c r="W24" s="229"/>
      <c r="X24" s="227">
        <f>SUM(R24:W24)</f>
        <v>8</v>
      </c>
      <c r="Z24" s="229">
        <v>0</v>
      </c>
      <c r="AA24" s="229"/>
      <c r="AB24" s="229"/>
      <c r="AC24" s="229"/>
      <c r="AD24" s="229"/>
      <c r="AE24" s="229"/>
      <c r="AF24" s="227">
        <f>SUM(Z24:AE24)</f>
        <v>0</v>
      </c>
      <c r="AH24" s="229">
        <f>45+35</f>
        <v>80</v>
      </c>
      <c r="AI24" s="229"/>
      <c r="AJ24" s="229"/>
      <c r="AK24" s="229"/>
      <c r="AL24" s="229"/>
      <c r="AM24" s="229"/>
      <c r="AN24" s="227">
        <f>SUM(AH24:AM24)</f>
        <v>80</v>
      </c>
      <c r="AP24" s="229">
        <v>25</v>
      </c>
      <c r="AQ24" s="229"/>
      <c r="AR24" s="229"/>
      <c r="AS24" s="229"/>
      <c r="AT24" s="229"/>
      <c r="AU24" s="229"/>
      <c r="AV24" s="227">
        <f>SUM(AP24:AU24)</f>
        <v>25</v>
      </c>
      <c r="AX24" s="229">
        <v>15</v>
      </c>
      <c r="AY24" s="229"/>
      <c r="AZ24" s="229"/>
      <c r="BA24" s="229"/>
      <c r="BB24" s="229"/>
      <c r="BC24" s="229"/>
      <c r="BD24" s="227">
        <f>SUM(AX24:BC24)</f>
        <v>15</v>
      </c>
      <c r="BF24" s="229"/>
      <c r="BG24" s="229"/>
      <c r="BH24" s="229"/>
      <c r="BI24" s="229"/>
      <c r="BJ24" s="229"/>
      <c r="BK24" s="229"/>
      <c r="BL24" s="227">
        <f>SUM(BF24:BK24)</f>
        <v>0</v>
      </c>
      <c r="BN24" s="229">
        <f t="shared" si="2"/>
        <v>263</v>
      </c>
      <c r="BO24" s="229">
        <f t="shared" si="1"/>
        <v>0</v>
      </c>
      <c r="BP24" s="229">
        <f t="shared" si="1"/>
        <v>0</v>
      </c>
      <c r="BQ24" s="229">
        <f t="shared" si="1"/>
        <v>0</v>
      </c>
      <c r="BR24" s="229">
        <f t="shared" si="1"/>
        <v>0</v>
      </c>
      <c r="BS24" s="229">
        <f t="shared" si="1"/>
        <v>0</v>
      </c>
      <c r="BT24" s="227">
        <f>SUM(BN24:BS24)</f>
        <v>263</v>
      </c>
    </row>
    <row r="25" spans="1:72" x14ac:dyDescent="0.25">
      <c r="A25" s="185" t="s">
        <v>178</v>
      </c>
      <c r="B25" s="230"/>
      <c r="C25" s="230"/>
      <c r="D25" s="231">
        <v>0.2828</v>
      </c>
      <c r="E25" s="231"/>
      <c r="F25" s="231"/>
      <c r="G25" s="231"/>
      <c r="H25" s="230">
        <v>0.06</v>
      </c>
      <c r="J25" s="230"/>
      <c r="K25" s="230"/>
      <c r="L25" s="231">
        <v>0.2828</v>
      </c>
      <c r="M25" s="231"/>
      <c r="N25" s="231"/>
      <c r="O25" s="231"/>
      <c r="P25" s="230">
        <f>L25</f>
        <v>0.2828</v>
      </c>
      <c r="R25" s="230"/>
      <c r="S25" s="230"/>
      <c r="T25" s="231">
        <v>0.2828</v>
      </c>
      <c r="U25" s="231"/>
      <c r="V25" s="231"/>
      <c r="W25" s="231"/>
      <c r="X25" s="230">
        <f>T25</f>
        <v>0.2828</v>
      </c>
      <c r="Z25" s="230"/>
      <c r="AA25" s="230"/>
      <c r="AB25" s="231">
        <v>0.2455</v>
      </c>
      <c r="AC25" s="231"/>
      <c r="AD25" s="231"/>
      <c r="AE25" s="231"/>
      <c r="AF25" s="230">
        <f>AB25</f>
        <v>0.2455</v>
      </c>
      <c r="AH25" s="230"/>
      <c r="AI25" s="230"/>
      <c r="AJ25" s="231">
        <v>0.1958</v>
      </c>
      <c r="AK25" s="231"/>
      <c r="AL25" s="231"/>
      <c r="AM25" s="231"/>
      <c r="AN25" s="230">
        <f>AJ25</f>
        <v>0.1958</v>
      </c>
      <c r="AP25" s="230"/>
      <c r="AQ25" s="230"/>
      <c r="AR25" s="231">
        <v>1</v>
      </c>
      <c r="AS25" s="231"/>
      <c r="AT25" s="231"/>
      <c r="AU25" s="231"/>
      <c r="AV25" s="230">
        <f>AR25</f>
        <v>1</v>
      </c>
      <c r="AX25" s="230"/>
      <c r="AY25" s="230"/>
      <c r="AZ25" s="231">
        <v>0.37409999999999999</v>
      </c>
      <c r="BA25" s="231"/>
      <c r="BB25" s="231"/>
      <c r="BC25" s="231"/>
      <c r="BD25" s="230">
        <f>AZ25</f>
        <v>0.37409999999999999</v>
      </c>
      <c r="BF25" s="230"/>
      <c r="BG25" s="230"/>
      <c r="BH25" s="231"/>
      <c r="BI25" s="231"/>
      <c r="BJ25" s="231"/>
      <c r="BK25" s="231"/>
      <c r="BL25" s="230"/>
      <c r="BN25" s="229">
        <f t="shared" si="2"/>
        <v>0</v>
      </c>
      <c r="BO25" s="229">
        <f t="shared" si="1"/>
        <v>0</v>
      </c>
      <c r="BP25" s="229"/>
      <c r="BQ25" s="229">
        <f t="shared" si="1"/>
        <v>0</v>
      </c>
      <c r="BR25" s="229">
        <f t="shared" si="1"/>
        <v>0</v>
      </c>
      <c r="BS25" s="229">
        <f t="shared" si="1"/>
        <v>0</v>
      </c>
      <c r="BT25" s="230"/>
    </row>
    <row r="26" spans="1:72" x14ac:dyDescent="0.25">
      <c r="A26" s="189" t="s">
        <v>179</v>
      </c>
      <c r="B26" s="228" t="s">
        <v>309</v>
      </c>
      <c r="C26" s="228" t="s">
        <v>310</v>
      </c>
      <c r="D26" s="228" t="s">
        <v>311</v>
      </c>
      <c r="E26" s="228" t="str">
        <f>E20</f>
        <v>Other</v>
      </c>
      <c r="F26" s="228" t="s">
        <v>313</v>
      </c>
      <c r="G26" s="228" t="s">
        <v>314</v>
      </c>
      <c r="H26" s="228" t="s">
        <v>59</v>
      </c>
      <c r="J26" s="228" t="s">
        <v>309</v>
      </c>
      <c r="K26" s="228" t="s">
        <v>310</v>
      </c>
      <c r="L26" s="228" t="s">
        <v>311</v>
      </c>
      <c r="M26" s="228" t="str">
        <f>M20</f>
        <v>Other</v>
      </c>
      <c r="N26" s="228" t="s">
        <v>313</v>
      </c>
      <c r="O26" s="228" t="s">
        <v>314</v>
      </c>
      <c r="P26" s="228" t="str">
        <f>P20</f>
        <v>Cadence</v>
      </c>
      <c r="R26" s="228" t="s">
        <v>309</v>
      </c>
      <c r="S26" s="228" t="s">
        <v>310</v>
      </c>
      <c r="T26" s="228" t="s">
        <v>311</v>
      </c>
      <c r="U26" s="228" t="str">
        <f>U20</f>
        <v>Other</v>
      </c>
      <c r="V26" s="228" t="s">
        <v>313</v>
      </c>
      <c r="W26" s="228" t="s">
        <v>314</v>
      </c>
      <c r="X26" s="228" t="str">
        <f>X20</f>
        <v>St. Rose</v>
      </c>
      <c r="Z26" s="228" t="s">
        <v>309</v>
      </c>
      <c r="AA26" s="228" t="s">
        <v>310</v>
      </c>
      <c r="AB26" s="228" t="s">
        <v>311</v>
      </c>
      <c r="AC26" s="228" t="str">
        <f>AC20</f>
        <v>Other</v>
      </c>
      <c r="AD26" s="228" t="s">
        <v>313</v>
      </c>
      <c r="AE26" s="228" t="s">
        <v>314</v>
      </c>
      <c r="AF26" s="228" t="str">
        <f>AF20</f>
        <v>Inspirada</v>
      </c>
      <c r="AH26" s="228" t="s">
        <v>309</v>
      </c>
      <c r="AI26" s="228" t="s">
        <v>310</v>
      </c>
      <c r="AJ26" s="228" t="s">
        <v>311</v>
      </c>
      <c r="AK26" s="228" t="str">
        <f>AK20</f>
        <v>Other</v>
      </c>
      <c r="AL26" s="228" t="s">
        <v>313</v>
      </c>
      <c r="AM26" s="228" t="s">
        <v>314</v>
      </c>
      <c r="AN26" s="228" t="str">
        <f>AN20</f>
        <v>Sloan</v>
      </c>
      <c r="AP26" s="228" t="s">
        <v>309</v>
      </c>
      <c r="AQ26" s="228" t="s">
        <v>310</v>
      </c>
      <c r="AR26" s="228" t="s">
        <v>311</v>
      </c>
      <c r="AS26" s="228" t="str">
        <f>AS20</f>
        <v>Other</v>
      </c>
      <c r="AT26" s="228" t="s">
        <v>313</v>
      </c>
      <c r="AU26" s="228" t="s">
        <v>314</v>
      </c>
      <c r="AV26" s="228" t="str">
        <f>AV20</f>
        <v>Springs</v>
      </c>
      <c r="AX26" s="228" t="s">
        <v>309</v>
      </c>
      <c r="AY26" s="228" t="s">
        <v>310</v>
      </c>
      <c r="AZ26" s="228" t="s">
        <v>311</v>
      </c>
      <c r="BA26" s="228" t="str">
        <f>BA20</f>
        <v>Other</v>
      </c>
      <c r="BB26" s="228" t="s">
        <v>313</v>
      </c>
      <c r="BC26" s="228" t="s">
        <v>314</v>
      </c>
      <c r="BD26" s="228" t="str">
        <f>BD20</f>
        <v>Virtual</v>
      </c>
      <c r="BF26" s="228" t="s">
        <v>309</v>
      </c>
      <c r="BG26" s="228" t="s">
        <v>310</v>
      </c>
      <c r="BH26" s="228" t="s">
        <v>311</v>
      </c>
      <c r="BI26" s="228" t="str">
        <f>BI20</f>
        <v>Other</v>
      </c>
      <c r="BJ26" s="228" t="s">
        <v>313</v>
      </c>
      <c r="BK26" s="228" t="s">
        <v>314</v>
      </c>
      <c r="BL26" s="228" t="str">
        <f>BL20</f>
        <v>Central</v>
      </c>
      <c r="BN26" s="228" t="s">
        <v>309</v>
      </c>
      <c r="BO26" s="228" t="s">
        <v>310</v>
      </c>
      <c r="BP26" s="228" t="s">
        <v>311</v>
      </c>
      <c r="BQ26" s="228" t="str">
        <f>BQ20</f>
        <v>Other</v>
      </c>
      <c r="BR26" s="228" t="s">
        <v>313</v>
      </c>
      <c r="BS26" s="228" t="s">
        <v>314</v>
      </c>
      <c r="BT26" s="228" t="str">
        <f>BT20</f>
        <v>System</v>
      </c>
    </row>
    <row r="27" spans="1:72" x14ac:dyDescent="0.25">
      <c r="A27" s="190" t="s">
        <v>180</v>
      </c>
      <c r="B27" s="232">
        <v>36</v>
      </c>
      <c r="C27" s="232"/>
      <c r="D27" s="232"/>
      <c r="E27" s="232"/>
      <c r="F27" s="232"/>
      <c r="G27" s="232"/>
      <c r="H27" s="232">
        <f t="shared" ref="H27:H35" si="3">SUM(B27:G27)</f>
        <v>36</v>
      </c>
      <c r="J27" s="232">
        <v>85</v>
      </c>
      <c r="K27" s="232"/>
      <c r="L27" s="232"/>
      <c r="M27" s="232"/>
      <c r="N27" s="232"/>
      <c r="O27" s="232"/>
      <c r="P27" s="232">
        <f t="shared" ref="P27:P35" si="4">SUM(J27:O27)</f>
        <v>85</v>
      </c>
      <c r="R27" s="232">
        <v>36</v>
      </c>
      <c r="S27" s="232"/>
      <c r="T27" s="232"/>
      <c r="U27" s="232"/>
      <c r="V27" s="232"/>
      <c r="W27" s="232"/>
      <c r="X27" s="232">
        <f t="shared" ref="X27:X35" si="5">SUM(R27:W27)</f>
        <v>36</v>
      </c>
      <c r="Z27" s="232">
        <v>46</v>
      </c>
      <c r="AA27" s="232"/>
      <c r="AB27" s="232"/>
      <c r="AC27" s="232"/>
      <c r="AD27" s="232"/>
      <c r="AE27" s="232"/>
      <c r="AF27" s="232">
        <f t="shared" ref="AF27:AF35" si="6">SUM(Z27:AE27)</f>
        <v>46</v>
      </c>
      <c r="AH27" s="232">
        <v>86</v>
      </c>
      <c r="AI27" s="232"/>
      <c r="AJ27" s="232"/>
      <c r="AK27" s="232"/>
      <c r="AL27" s="232"/>
      <c r="AM27" s="232"/>
      <c r="AN27" s="232">
        <f t="shared" ref="AN27:AN35" si="7">SUM(AH27:AM27)</f>
        <v>86</v>
      </c>
      <c r="AP27" s="232">
        <v>26</v>
      </c>
      <c r="AQ27" s="232"/>
      <c r="AR27" s="232"/>
      <c r="AS27" s="232"/>
      <c r="AT27" s="232"/>
      <c r="AU27" s="232"/>
      <c r="AV27" s="232">
        <f t="shared" ref="AV27:AV35" si="8">SUM(AP27:AU27)</f>
        <v>26</v>
      </c>
      <c r="AX27" s="232">
        <v>0</v>
      </c>
      <c r="AY27" s="232"/>
      <c r="AZ27" s="232"/>
      <c r="BA27" s="232"/>
      <c r="BB27" s="232"/>
      <c r="BC27" s="232"/>
      <c r="BD27" s="232">
        <f t="shared" ref="BD27:BD35" si="9">SUM(AX27:BC27)</f>
        <v>0</v>
      </c>
      <c r="BF27" s="232"/>
      <c r="BG27" s="232"/>
      <c r="BH27" s="232"/>
      <c r="BI27" s="232"/>
      <c r="BJ27" s="232"/>
      <c r="BK27" s="232"/>
      <c r="BL27" s="232">
        <f t="shared" ref="BL27:BL35" si="10">SUM(BF27:BK27)</f>
        <v>0</v>
      </c>
      <c r="BN27" s="229">
        <f>B27+J27+R27+Z27+AH27+AP27+AX27+BF27</f>
        <v>315</v>
      </c>
      <c r="BO27" s="229">
        <f t="shared" ref="BO27:BS35" si="11">C27+K27+S27+AA27+AI27+AQ27+AY27+BG27</f>
        <v>0</v>
      </c>
      <c r="BP27" s="229">
        <f t="shared" si="11"/>
        <v>0</v>
      </c>
      <c r="BQ27" s="229">
        <f t="shared" si="11"/>
        <v>0</v>
      </c>
      <c r="BR27" s="229">
        <f t="shared" si="11"/>
        <v>0</v>
      </c>
      <c r="BS27" s="229">
        <f t="shared" si="11"/>
        <v>0</v>
      </c>
      <c r="BT27" s="232">
        <f t="shared" ref="BT27:BT35" si="12">SUM(BN27:BS27)</f>
        <v>315</v>
      </c>
    </row>
    <row r="28" spans="1:72" x14ac:dyDescent="0.25">
      <c r="A28" s="190" t="s">
        <v>181</v>
      </c>
      <c r="B28" s="233">
        <v>0</v>
      </c>
      <c r="C28" s="233">
        <v>5</v>
      </c>
      <c r="D28" s="233"/>
      <c r="E28" s="233"/>
      <c r="F28" s="233"/>
      <c r="G28" s="233"/>
      <c r="H28" s="232">
        <f t="shared" si="3"/>
        <v>5</v>
      </c>
      <c r="J28" s="233"/>
      <c r="K28" s="233">
        <v>13</v>
      </c>
      <c r="L28" s="233"/>
      <c r="M28" s="233"/>
      <c r="N28" s="233"/>
      <c r="O28" s="233"/>
      <c r="P28" s="232">
        <f t="shared" si="4"/>
        <v>13</v>
      </c>
      <c r="R28" s="233">
        <v>0</v>
      </c>
      <c r="S28" s="233">
        <v>4</v>
      </c>
      <c r="T28" s="233"/>
      <c r="U28" s="233"/>
      <c r="V28" s="233"/>
      <c r="W28" s="233"/>
      <c r="X28" s="232">
        <f t="shared" si="5"/>
        <v>4</v>
      </c>
      <c r="Z28" s="233">
        <v>0</v>
      </c>
      <c r="AA28" s="233">
        <v>5</v>
      </c>
      <c r="AB28" s="233"/>
      <c r="AC28" s="233"/>
      <c r="AD28" s="233"/>
      <c r="AE28" s="233"/>
      <c r="AF28" s="232">
        <f t="shared" si="6"/>
        <v>5</v>
      </c>
      <c r="AH28" s="233">
        <v>0</v>
      </c>
      <c r="AI28" s="233">
        <v>13</v>
      </c>
      <c r="AJ28" s="233"/>
      <c r="AK28" s="233"/>
      <c r="AL28" s="233"/>
      <c r="AM28" s="233"/>
      <c r="AN28" s="232">
        <f t="shared" si="7"/>
        <v>13</v>
      </c>
      <c r="AP28" s="233">
        <v>0</v>
      </c>
      <c r="AQ28" s="233">
        <v>3</v>
      </c>
      <c r="AR28" s="233"/>
      <c r="AS28" s="233"/>
      <c r="AT28" s="233"/>
      <c r="AU28" s="233"/>
      <c r="AV28" s="232">
        <f t="shared" si="8"/>
        <v>3</v>
      </c>
      <c r="AX28" s="233">
        <v>0</v>
      </c>
      <c r="AY28" s="233">
        <v>1</v>
      </c>
      <c r="AZ28" s="233"/>
      <c r="BA28" s="233"/>
      <c r="BB28" s="233"/>
      <c r="BC28" s="233"/>
      <c r="BD28" s="232">
        <f t="shared" si="9"/>
        <v>1</v>
      </c>
      <c r="BF28" s="233"/>
      <c r="BG28" s="233"/>
      <c r="BH28" s="233"/>
      <c r="BI28" s="233"/>
      <c r="BJ28" s="233"/>
      <c r="BK28" s="233"/>
      <c r="BL28" s="232">
        <f t="shared" si="10"/>
        <v>0</v>
      </c>
      <c r="BN28" s="229">
        <f t="shared" ref="BN28:BN35" si="13">B28+J28+R28+Z28+AH28+AP28+AX28+BF28</f>
        <v>0</v>
      </c>
      <c r="BO28" s="229">
        <f t="shared" si="11"/>
        <v>44</v>
      </c>
      <c r="BP28" s="229">
        <f t="shared" si="11"/>
        <v>0</v>
      </c>
      <c r="BQ28" s="229">
        <f t="shared" si="11"/>
        <v>0</v>
      </c>
      <c r="BR28" s="229">
        <f t="shared" si="11"/>
        <v>0</v>
      </c>
      <c r="BS28" s="229">
        <f t="shared" si="11"/>
        <v>0</v>
      </c>
      <c r="BT28" s="232">
        <f t="shared" si="12"/>
        <v>44</v>
      </c>
    </row>
    <row r="29" spans="1:72" x14ac:dyDescent="0.25">
      <c r="A29" s="190" t="s">
        <v>182</v>
      </c>
      <c r="B29" s="232">
        <v>1</v>
      </c>
      <c r="C29" s="232"/>
      <c r="D29" s="232"/>
      <c r="E29" s="232"/>
      <c r="F29" s="232"/>
      <c r="G29" s="232"/>
      <c r="H29" s="232">
        <f t="shared" si="3"/>
        <v>1</v>
      </c>
      <c r="J29" s="232">
        <v>2</v>
      </c>
      <c r="K29" s="232"/>
      <c r="L29" s="232"/>
      <c r="M29" s="232"/>
      <c r="N29" s="232"/>
      <c r="O29" s="232"/>
      <c r="P29" s="232">
        <f t="shared" si="4"/>
        <v>2</v>
      </c>
      <c r="R29" s="232">
        <v>1</v>
      </c>
      <c r="S29" s="232"/>
      <c r="T29" s="232"/>
      <c r="U29" s="232"/>
      <c r="V29" s="232"/>
      <c r="W29" s="232"/>
      <c r="X29" s="232">
        <f t="shared" si="5"/>
        <v>1</v>
      </c>
      <c r="Z29" s="232">
        <v>1</v>
      </c>
      <c r="AA29" s="232"/>
      <c r="AB29" s="232"/>
      <c r="AC29" s="232"/>
      <c r="AD29" s="232"/>
      <c r="AE29" s="232"/>
      <c r="AF29" s="232">
        <f t="shared" si="6"/>
        <v>1</v>
      </c>
      <c r="AH29" s="232">
        <v>2</v>
      </c>
      <c r="AI29" s="232"/>
      <c r="AJ29" s="232"/>
      <c r="AK29" s="232"/>
      <c r="AL29" s="232"/>
      <c r="AM29" s="232"/>
      <c r="AN29" s="232">
        <f t="shared" si="7"/>
        <v>2</v>
      </c>
      <c r="AP29" s="232">
        <v>1</v>
      </c>
      <c r="AQ29" s="232"/>
      <c r="AR29" s="232"/>
      <c r="AS29" s="232"/>
      <c r="AT29" s="232"/>
      <c r="AU29" s="232"/>
      <c r="AV29" s="232">
        <f t="shared" si="8"/>
        <v>1</v>
      </c>
      <c r="AX29" s="232">
        <v>0</v>
      </c>
      <c r="AY29" s="232"/>
      <c r="AZ29" s="232"/>
      <c r="BA29" s="232"/>
      <c r="BB29" s="232"/>
      <c r="BC29" s="232"/>
      <c r="BD29" s="232">
        <f t="shared" si="9"/>
        <v>0</v>
      </c>
      <c r="BF29" s="232"/>
      <c r="BG29" s="232"/>
      <c r="BH29" s="232"/>
      <c r="BI29" s="232"/>
      <c r="BJ29" s="232"/>
      <c r="BK29" s="232"/>
      <c r="BL29" s="232">
        <f t="shared" si="10"/>
        <v>0</v>
      </c>
      <c r="BN29" s="229">
        <f t="shared" si="13"/>
        <v>8</v>
      </c>
      <c r="BO29" s="229">
        <f t="shared" si="11"/>
        <v>0</v>
      </c>
      <c r="BP29" s="229">
        <f t="shared" si="11"/>
        <v>0</v>
      </c>
      <c r="BQ29" s="229">
        <f t="shared" si="11"/>
        <v>0</v>
      </c>
      <c r="BR29" s="229">
        <f t="shared" si="11"/>
        <v>0</v>
      </c>
      <c r="BS29" s="229">
        <f t="shared" si="11"/>
        <v>0</v>
      </c>
      <c r="BT29" s="232">
        <f t="shared" si="12"/>
        <v>8</v>
      </c>
    </row>
    <row r="30" spans="1:72" x14ac:dyDescent="0.25">
      <c r="A30" s="190" t="s">
        <v>183</v>
      </c>
      <c r="B30" s="232">
        <v>1</v>
      </c>
      <c r="C30" s="232"/>
      <c r="D30" s="232"/>
      <c r="E30" s="232"/>
      <c r="F30" s="232"/>
      <c r="G30" s="232"/>
      <c r="H30" s="232">
        <f t="shared" si="3"/>
        <v>1</v>
      </c>
      <c r="J30" s="232">
        <v>2</v>
      </c>
      <c r="K30" s="232"/>
      <c r="L30" s="232"/>
      <c r="M30" s="232"/>
      <c r="N30" s="232"/>
      <c r="O30" s="232"/>
      <c r="P30" s="232">
        <f t="shared" si="4"/>
        <v>2</v>
      </c>
      <c r="R30" s="232">
        <v>1</v>
      </c>
      <c r="S30" s="232"/>
      <c r="T30" s="232"/>
      <c r="U30" s="232"/>
      <c r="V30" s="232"/>
      <c r="W30" s="232"/>
      <c r="X30" s="232">
        <f t="shared" si="5"/>
        <v>1</v>
      </c>
      <c r="Z30" s="232">
        <v>1</v>
      </c>
      <c r="AA30" s="232"/>
      <c r="AB30" s="232"/>
      <c r="AC30" s="232"/>
      <c r="AD30" s="232"/>
      <c r="AE30" s="232"/>
      <c r="AF30" s="232">
        <f t="shared" si="6"/>
        <v>1</v>
      </c>
      <c r="AH30" s="232">
        <v>3</v>
      </c>
      <c r="AI30" s="232"/>
      <c r="AJ30" s="232"/>
      <c r="AK30" s="232"/>
      <c r="AL30" s="232"/>
      <c r="AM30" s="232"/>
      <c r="AN30" s="232">
        <f t="shared" si="7"/>
        <v>3</v>
      </c>
      <c r="AP30" s="232">
        <v>1</v>
      </c>
      <c r="AQ30" s="232"/>
      <c r="AR30" s="232"/>
      <c r="AS30" s="232"/>
      <c r="AT30" s="232"/>
      <c r="AU30" s="232"/>
      <c r="AV30" s="232">
        <f t="shared" si="8"/>
        <v>1</v>
      </c>
      <c r="AX30" s="232">
        <v>0</v>
      </c>
      <c r="AY30" s="232"/>
      <c r="AZ30" s="232"/>
      <c r="BA30" s="232"/>
      <c r="BB30" s="232"/>
      <c r="BC30" s="232"/>
      <c r="BD30" s="232">
        <f t="shared" si="9"/>
        <v>0</v>
      </c>
      <c r="BF30" s="232">
        <v>1</v>
      </c>
      <c r="BG30" s="232"/>
      <c r="BH30" s="232"/>
      <c r="BI30" s="232"/>
      <c r="BJ30" s="232"/>
      <c r="BK30" s="232"/>
      <c r="BL30" s="232">
        <f t="shared" si="10"/>
        <v>1</v>
      </c>
      <c r="BN30" s="229">
        <f t="shared" si="13"/>
        <v>10</v>
      </c>
      <c r="BO30" s="229">
        <f t="shared" si="11"/>
        <v>0</v>
      </c>
      <c r="BP30" s="229">
        <f t="shared" si="11"/>
        <v>0</v>
      </c>
      <c r="BQ30" s="229">
        <f t="shared" si="11"/>
        <v>0</v>
      </c>
      <c r="BR30" s="229">
        <f t="shared" si="11"/>
        <v>0</v>
      </c>
      <c r="BS30" s="229">
        <f t="shared" si="11"/>
        <v>0</v>
      </c>
      <c r="BT30" s="232">
        <f t="shared" si="12"/>
        <v>10</v>
      </c>
    </row>
    <row r="31" spans="1:72" x14ac:dyDescent="0.25">
      <c r="A31" s="190" t="s">
        <v>184</v>
      </c>
      <c r="B31" s="232">
        <v>1</v>
      </c>
      <c r="C31" s="232"/>
      <c r="D31" s="232"/>
      <c r="E31" s="232"/>
      <c r="F31" s="232"/>
      <c r="G31" s="232"/>
      <c r="H31" s="232">
        <f t="shared" si="3"/>
        <v>1</v>
      </c>
      <c r="J31" s="232">
        <v>3</v>
      </c>
      <c r="K31" s="232"/>
      <c r="L31" s="232"/>
      <c r="M31" s="232"/>
      <c r="N31" s="232"/>
      <c r="O31" s="232"/>
      <c r="P31" s="232">
        <f t="shared" si="4"/>
        <v>3</v>
      </c>
      <c r="R31" s="232">
        <v>1</v>
      </c>
      <c r="S31" s="232"/>
      <c r="T31" s="232"/>
      <c r="U31" s="232"/>
      <c r="V31" s="232"/>
      <c r="W31" s="232"/>
      <c r="X31" s="232">
        <f t="shared" si="5"/>
        <v>1</v>
      </c>
      <c r="Z31" s="232">
        <v>1</v>
      </c>
      <c r="AA31" s="232"/>
      <c r="AB31" s="232"/>
      <c r="AC31" s="232"/>
      <c r="AD31" s="232"/>
      <c r="AE31" s="232"/>
      <c r="AF31" s="232">
        <f t="shared" si="6"/>
        <v>1</v>
      </c>
      <c r="AH31" s="232">
        <v>3</v>
      </c>
      <c r="AI31" s="232"/>
      <c r="AJ31" s="232"/>
      <c r="AK31" s="232"/>
      <c r="AL31" s="232"/>
      <c r="AM31" s="232"/>
      <c r="AN31" s="232">
        <f t="shared" si="7"/>
        <v>3</v>
      </c>
      <c r="AP31" s="232">
        <v>1</v>
      </c>
      <c r="AQ31" s="232"/>
      <c r="AR31" s="232"/>
      <c r="AS31" s="232"/>
      <c r="AT31" s="232"/>
      <c r="AU31" s="232"/>
      <c r="AV31" s="232">
        <f t="shared" si="8"/>
        <v>1</v>
      </c>
      <c r="AX31" s="232">
        <v>0</v>
      </c>
      <c r="AY31" s="232"/>
      <c r="AZ31" s="232"/>
      <c r="BA31" s="232"/>
      <c r="BB31" s="232"/>
      <c r="BC31" s="232"/>
      <c r="BD31" s="232">
        <f t="shared" si="9"/>
        <v>0</v>
      </c>
      <c r="BF31" s="232"/>
      <c r="BG31" s="232"/>
      <c r="BH31" s="232"/>
      <c r="BI31" s="232"/>
      <c r="BJ31" s="232"/>
      <c r="BK31" s="232"/>
      <c r="BL31" s="232">
        <f t="shared" si="10"/>
        <v>0</v>
      </c>
      <c r="BN31" s="229">
        <f t="shared" si="13"/>
        <v>10</v>
      </c>
      <c r="BO31" s="229">
        <f t="shared" si="11"/>
        <v>0</v>
      </c>
      <c r="BP31" s="229">
        <f t="shared" si="11"/>
        <v>0</v>
      </c>
      <c r="BQ31" s="229">
        <f t="shared" si="11"/>
        <v>0</v>
      </c>
      <c r="BR31" s="229">
        <f t="shared" si="11"/>
        <v>0</v>
      </c>
      <c r="BS31" s="229">
        <f t="shared" si="11"/>
        <v>0</v>
      </c>
      <c r="BT31" s="232">
        <f t="shared" si="12"/>
        <v>10</v>
      </c>
    </row>
    <row r="32" spans="1:72" x14ac:dyDescent="0.25">
      <c r="A32" s="191" t="s">
        <v>185</v>
      </c>
      <c r="B32" s="232">
        <v>1</v>
      </c>
      <c r="C32" s="232"/>
      <c r="D32" s="232"/>
      <c r="E32" s="232"/>
      <c r="F32" s="232"/>
      <c r="G32" s="232"/>
      <c r="H32" s="232">
        <f t="shared" si="3"/>
        <v>1</v>
      </c>
      <c r="J32" s="232">
        <v>3</v>
      </c>
      <c r="K32" s="232"/>
      <c r="L32" s="232"/>
      <c r="M32" s="232"/>
      <c r="N32" s="232"/>
      <c r="O32" s="232"/>
      <c r="P32" s="232">
        <f t="shared" si="4"/>
        <v>3</v>
      </c>
      <c r="R32" s="232">
        <v>1</v>
      </c>
      <c r="S32" s="232"/>
      <c r="T32" s="232"/>
      <c r="U32" s="232"/>
      <c r="V32" s="232"/>
      <c r="W32" s="232"/>
      <c r="X32" s="232">
        <f t="shared" si="5"/>
        <v>1</v>
      </c>
      <c r="Z32" s="232">
        <v>1</v>
      </c>
      <c r="AA32" s="232"/>
      <c r="AB32" s="232"/>
      <c r="AC32" s="232"/>
      <c r="AD32" s="232"/>
      <c r="AE32" s="232"/>
      <c r="AF32" s="232">
        <f t="shared" si="6"/>
        <v>1</v>
      </c>
      <c r="AH32" s="232">
        <v>2</v>
      </c>
      <c r="AI32" s="232"/>
      <c r="AJ32" s="232"/>
      <c r="AK32" s="232"/>
      <c r="AL32" s="232"/>
      <c r="AM32" s="232"/>
      <c r="AN32" s="232">
        <f t="shared" si="7"/>
        <v>2</v>
      </c>
      <c r="AP32" s="232">
        <v>1</v>
      </c>
      <c r="AQ32" s="232"/>
      <c r="AR32" s="232"/>
      <c r="AS32" s="232"/>
      <c r="AT32" s="232"/>
      <c r="AU32" s="232"/>
      <c r="AV32" s="232">
        <f t="shared" si="8"/>
        <v>1</v>
      </c>
      <c r="AX32" s="232">
        <v>0</v>
      </c>
      <c r="AY32" s="232"/>
      <c r="AZ32" s="232"/>
      <c r="BA32" s="232"/>
      <c r="BB32" s="232"/>
      <c r="BC32" s="232"/>
      <c r="BD32" s="232">
        <f t="shared" si="9"/>
        <v>0</v>
      </c>
      <c r="BF32" s="232"/>
      <c r="BG32" s="232"/>
      <c r="BH32" s="232"/>
      <c r="BI32" s="232"/>
      <c r="BJ32" s="232"/>
      <c r="BK32" s="232"/>
      <c r="BL32" s="232">
        <f t="shared" si="10"/>
        <v>0</v>
      </c>
      <c r="BN32" s="229">
        <f t="shared" si="13"/>
        <v>9</v>
      </c>
      <c r="BO32" s="229">
        <f t="shared" si="11"/>
        <v>0</v>
      </c>
      <c r="BP32" s="229">
        <f t="shared" si="11"/>
        <v>0</v>
      </c>
      <c r="BQ32" s="229">
        <f t="shared" si="11"/>
        <v>0</v>
      </c>
      <c r="BR32" s="229">
        <f t="shared" si="11"/>
        <v>0</v>
      </c>
      <c r="BS32" s="229">
        <f t="shared" si="11"/>
        <v>0</v>
      </c>
      <c r="BT32" s="232">
        <f t="shared" si="12"/>
        <v>9</v>
      </c>
    </row>
    <row r="33" spans="1:72" x14ac:dyDescent="0.25">
      <c r="A33" s="191" t="s">
        <v>186</v>
      </c>
      <c r="B33" s="232">
        <v>1</v>
      </c>
      <c r="C33" s="232"/>
      <c r="D33" s="232"/>
      <c r="E33" s="232"/>
      <c r="F33" s="232"/>
      <c r="G33" s="232"/>
      <c r="H33" s="232">
        <f t="shared" si="3"/>
        <v>1</v>
      </c>
      <c r="J33" s="232">
        <v>2</v>
      </c>
      <c r="K33" s="232"/>
      <c r="L33" s="232"/>
      <c r="M33" s="232"/>
      <c r="N33" s="232"/>
      <c r="O33" s="232"/>
      <c r="P33" s="232">
        <f t="shared" si="4"/>
        <v>2</v>
      </c>
      <c r="R33" s="232">
        <v>1</v>
      </c>
      <c r="S33" s="232"/>
      <c r="T33" s="232"/>
      <c r="U33" s="232"/>
      <c r="V33" s="232"/>
      <c r="W33" s="232"/>
      <c r="X33" s="232">
        <f t="shared" si="5"/>
        <v>1</v>
      </c>
      <c r="Z33" s="232">
        <v>1</v>
      </c>
      <c r="AA33" s="232"/>
      <c r="AB33" s="232"/>
      <c r="AC33" s="232"/>
      <c r="AD33" s="232"/>
      <c r="AE33" s="232"/>
      <c r="AF33" s="232">
        <f t="shared" si="6"/>
        <v>1</v>
      </c>
      <c r="AH33" s="232">
        <v>2</v>
      </c>
      <c r="AI33" s="232"/>
      <c r="AJ33" s="232"/>
      <c r="AK33" s="232"/>
      <c r="AL33" s="232"/>
      <c r="AM33" s="232"/>
      <c r="AN33" s="232">
        <f t="shared" si="7"/>
        <v>2</v>
      </c>
      <c r="AP33" s="232">
        <v>0</v>
      </c>
      <c r="AQ33" s="232"/>
      <c r="AR33" s="232"/>
      <c r="AS33" s="232"/>
      <c r="AT33" s="232"/>
      <c r="AU33" s="232"/>
      <c r="AV33" s="232">
        <f t="shared" si="8"/>
        <v>0</v>
      </c>
      <c r="AX33" s="232">
        <v>0</v>
      </c>
      <c r="AY33" s="232"/>
      <c r="AZ33" s="232"/>
      <c r="BA33" s="232"/>
      <c r="BB33" s="232"/>
      <c r="BC33" s="232"/>
      <c r="BD33" s="232">
        <f t="shared" si="9"/>
        <v>0</v>
      </c>
      <c r="BF33" s="232"/>
      <c r="BG33" s="232"/>
      <c r="BH33" s="232"/>
      <c r="BI33" s="232"/>
      <c r="BJ33" s="232"/>
      <c r="BK33" s="232"/>
      <c r="BL33" s="232">
        <f t="shared" si="10"/>
        <v>0</v>
      </c>
      <c r="BN33" s="229">
        <f t="shared" si="13"/>
        <v>7</v>
      </c>
      <c r="BO33" s="229">
        <f t="shared" si="11"/>
        <v>0</v>
      </c>
      <c r="BP33" s="229">
        <f t="shared" si="11"/>
        <v>0</v>
      </c>
      <c r="BQ33" s="229">
        <f t="shared" si="11"/>
        <v>0</v>
      </c>
      <c r="BR33" s="229">
        <f t="shared" si="11"/>
        <v>0</v>
      </c>
      <c r="BS33" s="229">
        <f t="shared" si="11"/>
        <v>0</v>
      </c>
      <c r="BT33" s="232">
        <f t="shared" si="12"/>
        <v>7</v>
      </c>
    </row>
    <row r="34" spans="1:72" x14ac:dyDescent="0.25">
      <c r="A34" s="191" t="s">
        <v>187</v>
      </c>
      <c r="B34" s="232">
        <v>1</v>
      </c>
      <c r="C34" s="232"/>
      <c r="D34" s="232"/>
      <c r="E34" s="232"/>
      <c r="F34" s="232"/>
      <c r="G34" s="232"/>
      <c r="H34" s="232">
        <f t="shared" si="3"/>
        <v>1</v>
      </c>
      <c r="J34" s="232">
        <v>3</v>
      </c>
      <c r="K34" s="232"/>
      <c r="L34" s="232"/>
      <c r="M34" s="232"/>
      <c r="N34" s="232"/>
      <c r="O34" s="232"/>
      <c r="P34" s="232">
        <f t="shared" si="4"/>
        <v>3</v>
      </c>
      <c r="R34" s="232">
        <v>2</v>
      </c>
      <c r="S34" s="232"/>
      <c r="T34" s="232"/>
      <c r="U34" s="232"/>
      <c r="V34" s="232"/>
      <c r="W34" s="232"/>
      <c r="X34" s="232">
        <f t="shared" si="5"/>
        <v>2</v>
      </c>
      <c r="Z34" s="232">
        <v>3</v>
      </c>
      <c r="AA34" s="232"/>
      <c r="AB34" s="232"/>
      <c r="AC34" s="232"/>
      <c r="AD34" s="232"/>
      <c r="AE34" s="232"/>
      <c r="AF34" s="232">
        <f t="shared" si="6"/>
        <v>3</v>
      </c>
      <c r="AH34" s="233">
        <v>3</v>
      </c>
      <c r="AI34" s="232"/>
      <c r="AJ34" s="232"/>
      <c r="AK34" s="232"/>
      <c r="AL34" s="232"/>
      <c r="AM34" s="232"/>
      <c r="AN34" s="232">
        <f t="shared" si="7"/>
        <v>3</v>
      </c>
      <c r="AP34" s="232">
        <v>0</v>
      </c>
      <c r="AQ34" s="232"/>
      <c r="AR34" s="232"/>
      <c r="AS34" s="232"/>
      <c r="AT34" s="232"/>
      <c r="AU34" s="232"/>
      <c r="AV34" s="232">
        <f t="shared" si="8"/>
        <v>0</v>
      </c>
      <c r="AX34" s="232">
        <v>0</v>
      </c>
      <c r="AY34" s="232"/>
      <c r="AZ34" s="232"/>
      <c r="BA34" s="232"/>
      <c r="BB34" s="232"/>
      <c r="BC34" s="232"/>
      <c r="BD34" s="232">
        <f t="shared" si="9"/>
        <v>0</v>
      </c>
      <c r="BF34" s="232"/>
      <c r="BG34" s="232"/>
      <c r="BH34" s="232"/>
      <c r="BI34" s="232"/>
      <c r="BJ34" s="232"/>
      <c r="BK34" s="232"/>
      <c r="BL34" s="232">
        <f t="shared" si="10"/>
        <v>0</v>
      </c>
      <c r="BN34" s="229">
        <f t="shared" si="13"/>
        <v>12</v>
      </c>
      <c r="BO34" s="229">
        <f t="shared" si="11"/>
        <v>0</v>
      </c>
      <c r="BP34" s="229">
        <f t="shared" si="11"/>
        <v>0</v>
      </c>
      <c r="BQ34" s="229">
        <f t="shared" si="11"/>
        <v>0</v>
      </c>
      <c r="BR34" s="229">
        <f t="shared" si="11"/>
        <v>0</v>
      </c>
      <c r="BS34" s="229">
        <f t="shared" si="11"/>
        <v>0</v>
      </c>
      <c r="BT34" s="232">
        <f t="shared" si="12"/>
        <v>12</v>
      </c>
    </row>
    <row r="35" spans="1:72" x14ac:dyDescent="0.25">
      <c r="A35" s="192" t="s">
        <v>188</v>
      </c>
      <c r="B35" s="233">
        <v>0</v>
      </c>
      <c r="C35" s="232"/>
      <c r="D35" s="232"/>
      <c r="E35" s="232"/>
      <c r="F35" s="232"/>
      <c r="G35" s="232"/>
      <c r="H35" s="232">
        <f t="shared" si="3"/>
        <v>0</v>
      </c>
      <c r="J35" s="232">
        <v>1</v>
      </c>
      <c r="K35" s="232"/>
      <c r="L35" s="232"/>
      <c r="M35" s="232"/>
      <c r="N35" s="232"/>
      <c r="O35" s="232"/>
      <c r="P35" s="232">
        <f t="shared" si="4"/>
        <v>1</v>
      </c>
      <c r="R35" s="232">
        <v>1</v>
      </c>
      <c r="S35" s="232"/>
      <c r="T35" s="232"/>
      <c r="U35" s="232"/>
      <c r="V35" s="232"/>
      <c r="W35" s="232"/>
      <c r="X35" s="232">
        <f t="shared" si="5"/>
        <v>1</v>
      </c>
      <c r="Z35" s="232">
        <v>2</v>
      </c>
      <c r="AA35" s="232"/>
      <c r="AB35" s="232"/>
      <c r="AC35" s="232"/>
      <c r="AD35" s="232"/>
      <c r="AE35" s="232"/>
      <c r="AF35" s="232">
        <f t="shared" si="6"/>
        <v>2</v>
      </c>
      <c r="AH35" s="232">
        <v>1</v>
      </c>
      <c r="AI35" s="232"/>
      <c r="AJ35" s="232"/>
      <c r="AK35" s="232"/>
      <c r="AL35" s="232"/>
      <c r="AM35" s="232"/>
      <c r="AN35" s="232">
        <f t="shared" si="7"/>
        <v>1</v>
      </c>
      <c r="AP35" s="232">
        <v>0</v>
      </c>
      <c r="AQ35" s="232"/>
      <c r="AR35" s="232"/>
      <c r="AS35" s="232"/>
      <c r="AT35" s="232"/>
      <c r="AU35" s="232"/>
      <c r="AV35" s="232">
        <f t="shared" si="8"/>
        <v>0</v>
      </c>
      <c r="AX35" s="232">
        <v>0</v>
      </c>
      <c r="AY35" s="232"/>
      <c r="AZ35" s="232"/>
      <c r="BA35" s="232"/>
      <c r="BB35" s="232"/>
      <c r="BC35" s="232"/>
      <c r="BD35" s="232">
        <f t="shared" si="9"/>
        <v>0</v>
      </c>
      <c r="BF35" s="232"/>
      <c r="BG35" s="232"/>
      <c r="BH35" s="232"/>
      <c r="BI35" s="232"/>
      <c r="BJ35" s="232"/>
      <c r="BK35" s="232"/>
      <c r="BL35" s="232">
        <f t="shared" si="10"/>
        <v>0</v>
      </c>
      <c r="BN35" s="229">
        <f t="shared" si="13"/>
        <v>5</v>
      </c>
      <c r="BO35" s="229">
        <f t="shared" si="11"/>
        <v>0</v>
      </c>
      <c r="BP35" s="229">
        <f t="shared" si="11"/>
        <v>0</v>
      </c>
      <c r="BQ35" s="229">
        <f t="shared" si="11"/>
        <v>0</v>
      </c>
      <c r="BR35" s="229">
        <f t="shared" si="11"/>
        <v>0</v>
      </c>
      <c r="BS35" s="229">
        <f t="shared" si="11"/>
        <v>0</v>
      </c>
      <c r="BT35" s="232">
        <f t="shared" si="12"/>
        <v>5</v>
      </c>
    </row>
    <row r="36" spans="1:72" x14ac:dyDescent="0.25">
      <c r="A36" s="189" t="s">
        <v>189</v>
      </c>
      <c r="B36" s="234">
        <f>SUM(B27:B35)</f>
        <v>42</v>
      </c>
      <c r="C36" s="234">
        <f t="shared" ref="C36:G36" si="14">SUM(C27:C35)</f>
        <v>5</v>
      </c>
      <c r="D36" s="234">
        <f t="shared" si="14"/>
        <v>0</v>
      </c>
      <c r="E36" s="234">
        <f t="shared" si="14"/>
        <v>0</v>
      </c>
      <c r="F36" s="234">
        <f t="shared" si="14"/>
        <v>0</v>
      </c>
      <c r="G36" s="234">
        <f t="shared" si="14"/>
        <v>0</v>
      </c>
      <c r="H36" s="234">
        <f>SUM(H27:H35)</f>
        <v>47</v>
      </c>
      <c r="J36" s="234">
        <f>SUM(J27:J35)</f>
        <v>101</v>
      </c>
      <c r="K36" s="234">
        <f t="shared" ref="K36:O36" si="15">SUM(K27:K35)</f>
        <v>13</v>
      </c>
      <c r="L36" s="234">
        <f t="shared" si="15"/>
        <v>0</v>
      </c>
      <c r="M36" s="234">
        <f t="shared" si="15"/>
        <v>0</v>
      </c>
      <c r="N36" s="234">
        <f t="shared" si="15"/>
        <v>0</v>
      </c>
      <c r="O36" s="234">
        <f t="shared" si="15"/>
        <v>0</v>
      </c>
      <c r="P36" s="234">
        <f>SUM(P27:P35)</f>
        <v>114</v>
      </c>
      <c r="R36" s="234">
        <f>SUM(R27:R35)</f>
        <v>44</v>
      </c>
      <c r="S36" s="234">
        <f t="shared" ref="S36:W36" si="16">SUM(S27:S35)</f>
        <v>4</v>
      </c>
      <c r="T36" s="234">
        <f t="shared" si="16"/>
        <v>0</v>
      </c>
      <c r="U36" s="234">
        <f t="shared" si="16"/>
        <v>0</v>
      </c>
      <c r="V36" s="234">
        <f t="shared" si="16"/>
        <v>0</v>
      </c>
      <c r="W36" s="234">
        <f t="shared" si="16"/>
        <v>0</v>
      </c>
      <c r="X36" s="234">
        <f>SUM(X27:X35)</f>
        <v>48</v>
      </c>
      <c r="Z36" s="234">
        <f>SUM(Z27:Z35)</f>
        <v>56</v>
      </c>
      <c r="AA36" s="234">
        <f t="shared" ref="AA36:AE36" si="17">SUM(AA27:AA35)</f>
        <v>5</v>
      </c>
      <c r="AB36" s="234">
        <f t="shared" si="17"/>
        <v>0</v>
      </c>
      <c r="AC36" s="234">
        <f t="shared" si="17"/>
        <v>0</v>
      </c>
      <c r="AD36" s="234">
        <f t="shared" si="17"/>
        <v>0</v>
      </c>
      <c r="AE36" s="234">
        <f t="shared" si="17"/>
        <v>0</v>
      </c>
      <c r="AF36" s="234">
        <f>SUM(AF27:AF35)</f>
        <v>61</v>
      </c>
      <c r="AH36" s="234">
        <f>SUM(AH27:AH35)</f>
        <v>102</v>
      </c>
      <c r="AI36" s="234">
        <f t="shared" ref="AI36:AM36" si="18">SUM(AI27:AI35)</f>
        <v>13</v>
      </c>
      <c r="AJ36" s="234">
        <f t="shared" si="18"/>
        <v>0</v>
      </c>
      <c r="AK36" s="234">
        <f t="shared" si="18"/>
        <v>0</v>
      </c>
      <c r="AL36" s="234">
        <f t="shared" si="18"/>
        <v>0</v>
      </c>
      <c r="AM36" s="234">
        <f t="shared" si="18"/>
        <v>0</v>
      </c>
      <c r="AN36" s="234">
        <f>SUM(AN27:AN35)</f>
        <v>115</v>
      </c>
      <c r="AP36" s="234">
        <f>SUM(AP27:AP35)</f>
        <v>30</v>
      </c>
      <c r="AQ36" s="234">
        <f t="shared" ref="AQ36:AU36" si="19">SUM(AQ27:AQ35)</f>
        <v>3</v>
      </c>
      <c r="AR36" s="234">
        <f t="shared" si="19"/>
        <v>0</v>
      </c>
      <c r="AS36" s="234">
        <f t="shared" si="19"/>
        <v>0</v>
      </c>
      <c r="AT36" s="234">
        <f t="shared" si="19"/>
        <v>0</v>
      </c>
      <c r="AU36" s="234">
        <f t="shared" si="19"/>
        <v>0</v>
      </c>
      <c r="AV36" s="234">
        <f>SUM(AV27:AV35)</f>
        <v>33</v>
      </c>
      <c r="AX36" s="234">
        <f>SUM(AX27:AX35)</f>
        <v>0</v>
      </c>
      <c r="AY36" s="234">
        <f t="shared" ref="AY36:BC36" si="20">SUM(AY27:AY35)</f>
        <v>1</v>
      </c>
      <c r="AZ36" s="234">
        <f t="shared" si="20"/>
        <v>0</v>
      </c>
      <c r="BA36" s="234">
        <f t="shared" si="20"/>
        <v>0</v>
      </c>
      <c r="BB36" s="234">
        <f t="shared" si="20"/>
        <v>0</v>
      </c>
      <c r="BC36" s="234">
        <f t="shared" si="20"/>
        <v>0</v>
      </c>
      <c r="BD36" s="234">
        <f>SUM(BD27:BD35)</f>
        <v>1</v>
      </c>
      <c r="BF36" s="234">
        <f>SUM(BF27:BF35)</f>
        <v>1</v>
      </c>
      <c r="BG36" s="234">
        <f t="shared" ref="BG36:BK36" si="21">SUM(BG27:BG35)</f>
        <v>0</v>
      </c>
      <c r="BH36" s="234">
        <f t="shared" si="21"/>
        <v>0</v>
      </c>
      <c r="BI36" s="234">
        <f t="shared" si="21"/>
        <v>0</v>
      </c>
      <c r="BJ36" s="234">
        <f t="shared" si="21"/>
        <v>0</v>
      </c>
      <c r="BK36" s="234">
        <f t="shared" si="21"/>
        <v>0</v>
      </c>
      <c r="BL36" s="234">
        <f>SUM(BL27:BL35)</f>
        <v>1</v>
      </c>
      <c r="BN36" s="234">
        <f>SUM(BN27:BN35)</f>
        <v>376</v>
      </c>
      <c r="BO36" s="234">
        <f t="shared" ref="BO36:BS36" si="22">SUM(BO27:BO35)</f>
        <v>44</v>
      </c>
      <c r="BP36" s="234">
        <f t="shared" si="22"/>
        <v>0</v>
      </c>
      <c r="BQ36" s="234">
        <f t="shared" si="22"/>
        <v>0</v>
      </c>
      <c r="BR36" s="234">
        <f t="shared" si="22"/>
        <v>0</v>
      </c>
      <c r="BS36" s="234">
        <f t="shared" si="22"/>
        <v>0</v>
      </c>
      <c r="BT36" s="234">
        <f>SUM(BT27:BT35)</f>
        <v>420</v>
      </c>
    </row>
    <row r="37" spans="1:72" x14ac:dyDescent="0.25">
      <c r="A37" s="193"/>
      <c r="B37" s="227"/>
      <c r="C37" s="227"/>
      <c r="D37" s="227"/>
      <c r="E37" s="227"/>
      <c r="F37" s="227"/>
      <c r="G37" s="227"/>
      <c r="H37" s="227"/>
      <c r="J37" s="227"/>
      <c r="K37" s="227"/>
      <c r="L37" s="227"/>
      <c r="M37" s="227"/>
      <c r="N37" s="227"/>
      <c r="O37" s="227"/>
      <c r="P37" s="227"/>
      <c r="R37" s="227"/>
      <c r="S37" s="227"/>
      <c r="T37" s="227"/>
      <c r="U37" s="227"/>
      <c r="V37" s="227"/>
      <c r="W37" s="227"/>
      <c r="X37" s="227"/>
      <c r="Z37" s="227"/>
      <c r="AA37" s="227"/>
      <c r="AB37" s="227"/>
      <c r="AC37" s="227"/>
      <c r="AD37" s="227"/>
      <c r="AE37" s="227"/>
      <c r="AF37" s="227"/>
      <c r="AH37" s="227"/>
      <c r="AI37" s="227"/>
      <c r="AJ37" s="227"/>
      <c r="AK37" s="227"/>
      <c r="AL37" s="227"/>
      <c r="AM37" s="227"/>
      <c r="AN37" s="227"/>
      <c r="AP37" s="227"/>
      <c r="AQ37" s="227"/>
      <c r="AR37" s="227"/>
      <c r="AS37" s="227"/>
      <c r="AT37" s="227"/>
      <c r="AU37" s="227"/>
      <c r="AV37" s="227"/>
      <c r="AX37" s="227"/>
      <c r="AY37" s="227"/>
      <c r="AZ37" s="227"/>
      <c r="BA37" s="227"/>
      <c r="BB37" s="227"/>
      <c r="BC37" s="227"/>
      <c r="BD37" s="227"/>
      <c r="BF37" s="227"/>
      <c r="BG37" s="227"/>
      <c r="BH37" s="227"/>
      <c r="BI37" s="227"/>
      <c r="BJ37" s="227"/>
      <c r="BK37" s="227"/>
      <c r="BL37" s="227"/>
      <c r="BN37" s="227"/>
      <c r="BO37" s="227"/>
      <c r="BP37" s="227"/>
      <c r="BQ37" s="227"/>
      <c r="BR37" s="227"/>
      <c r="BS37" s="227"/>
      <c r="BT37" s="227"/>
    </row>
    <row r="38" spans="1:72" x14ac:dyDescent="0.25">
      <c r="A38" s="189" t="s">
        <v>190</v>
      </c>
      <c r="B38" s="228" t="s">
        <v>309</v>
      </c>
      <c r="C38" s="228" t="s">
        <v>310</v>
      </c>
      <c r="D38" s="228" t="s">
        <v>311</v>
      </c>
      <c r="E38" s="228" t="str">
        <f>E20</f>
        <v>Other</v>
      </c>
      <c r="F38" s="228" t="s">
        <v>313</v>
      </c>
      <c r="G38" s="228" t="s">
        <v>314</v>
      </c>
      <c r="H38" s="228" t="s">
        <v>59</v>
      </c>
      <c r="J38" s="228" t="s">
        <v>309</v>
      </c>
      <c r="K38" s="228" t="s">
        <v>310</v>
      </c>
      <c r="L38" s="228" t="s">
        <v>311</v>
      </c>
      <c r="M38" s="228" t="str">
        <f>M20</f>
        <v>Other</v>
      </c>
      <c r="N38" s="228" t="s">
        <v>313</v>
      </c>
      <c r="O38" s="228" t="s">
        <v>314</v>
      </c>
      <c r="P38" s="228" t="str">
        <f>P26</f>
        <v>Cadence</v>
      </c>
      <c r="R38" s="228" t="s">
        <v>309</v>
      </c>
      <c r="S38" s="228" t="s">
        <v>310</v>
      </c>
      <c r="T38" s="228" t="s">
        <v>311</v>
      </c>
      <c r="U38" s="228" t="str">
        <f>U20</f>
        <v>Other</v>
      </c>
      <c r="V38" s="228" t="s">
        <v>313</v>
      </c>
      <c r="W38" s="228" t="s">
        <v>314</v>
      </c>
      <c r="X38" s="228" t="str">
        <f>X20</f>
        <v>St. Rose</v>
      </c>
      <c r="Z38" s="228" t="s">
        <v>309</v>
      </c>
      <c r="AA38" s="228" t="s">
        <v>310</v>
      </c>
      <c r="AB38" s="228" t="s">
        <v>311</v>
      </c>
      <c r="AC38" s="228" t="str">
        <f>AC20</f>
        <v>Other</v>
      </c>
      <c r="AD38" s="228" t="s">
        <v>313</v>
      </c>
      <c r="AE38" s="228" t="s">
        <v>314</v>
      </c>
      <c r="AF38" s="228" t="str">
        <f>AF26</f>
        <v>Inspirada</v>
      </c>
      <c r="AH38" s="228" t="s">
        <v>309</v>
      </c>
      <c r="AI38" s="228" t="s">
        <v>310</v>
      </c>
      <c r="AJ38" s="228" t="s">
        <v>311</v>
      </c>
      <c r="AK38" s="228" t="str">
        <f>AK20</f>
        <v>Other</v>
      </c>
      <c r="AL38" s="228" t="s">
        <v>313</v>
      </c>
      <c r="AM38" s="228" t="s">
        <v>314</v>
      </c>
      <c r="AN38" s="228" t="str">
        <f>AN26</f>
        <v>Sloan</v>
      </c>
      <c r="AP38" s="228" t="s">
        <v>309</v>
      </c>
      <c r="AQ38" s="228" t="s">
        <v>310</v>
      </c>
      <c r="AR38" s="228" t="s">
        <v>311</v>
      </c>
      <c r="AS38" s="228" t="str">
        <f>AS20</f>
        <v>Other</v>
      </c>
      <c r="AT38" s="228" t="s">
        <v>313</v>
      </c>
      <c r="AU38" s="228" t="s">
        <v>314</v>
      </c>
      <c r="AV38" s="228" t="str">
        <f>AV26</f>
        <v>Springs</v>
      </c>
      <c r="AX38" s="228" t="s">
        <v>309</v>
      </c>
      <c r="AY38" s="228" t="s">
        <v>310</v>
      </c>
      <c r="AZ38" s="228" t="s">
        <v>311</v>
      </c>
      <c r="BA38" s="228" t="str">
        <f>BA20</f>
        <v>Other</v>
      </c>
      <c r="BB38" s="228" t="s">
        <v>313</v>
      </c>
      <c r="BC38" s="228" t="s">
        <v>314</v>
      </c>
      <c r="BD38" s="228" t="str">
        <f>BD26</f>
        <v>Virtual</v>
      </c>
      <c r="BF38" s="228" t="s">
        <v>309</v>
      </c>
      <c r="BG38" s="228" t="s">
        <v>310</v>
      </c>
      <c r="BH38" s="228" t="s">
        <v>311</v>
      </c>
      <c r="BI38" s="228" t="str">
        <f>BI20</f>
        <v>Other</v>
      </c>
      <c r="BJ38" s="228" t="s">
        <v>313</v>
      </c>
      <c r="BK38" s="228" t="s">
        <v>314</v>
      </c>
      <c r="BL38" s="228" t="str">
        <f>BL26</f>
        <v>Central</v>
      </c>
      <c r="BN38" s="228" t="s">
        <v>309</v>
      </c>
      <c r="BO38" s="228" t="s">
        <v>310</v>
      </c>
      <c r="BP38" s="228" t="s">
        <v>311</v>
      </c>
      <c r="BQ38" s="228" t="str">
        <f>BQ20</f>
        <v>Other</v>
      </c>
      <c r="BR38" s="228" t="s">
        <v>313</v>
      </c>
      <c r="BS38" s="228" t="s">
        <v>314</v>
      </c>
      <c r="BT38" s="228" t="str">
        <f>BT26</f>
        <v>System</v>
      </c>
    </row>
    <row r="39" spans="1:72" x14ac:dyDescent="0.25">
      <c r="A39" s="191" t="s">
        <v>53</v>
      </c>
      <c r="B39" s="232">
        <v>1</v>
      </c>
      <c r="C39" s="233"/>
      <c r="D39" s="233"/>
      <c r="E39" s="233"/>
      <c r="F39" s="233"/>
      <c r="G39" s="233"/>
      <c r="H39" s="232">
        <f t="shared" ref="H39:H60" si="23">SUM(B39:G39)</f>
        <v>1</v>
      </c>
      <c r="J39" s="232">
        <v>1</v>
      </c>
      <c r="K39" s="233"/>
      <c r="L39" s="233"/>
      <c r="M39" s="233"/>
      <c r="N39" s="233"/>
      <c r="O39" s="233"/>
      <c r="P39" s="232">
        <f t="shared" ref="P39:P60" si="24">SUM(J39:O39)</f>
        <v>1</v>
      </c>
      <c r="R39" s="232">
        <v>1</v>
      </c>
      <c r="S39" s="233"/>
      <c r="T39" s="233"/>
      <c r="U39" s="233"/>
      <c r="V39" s="233"/>
      <c r="W39" s="233"/>
      <c r="X39" s="232">
        <f t="shared" ref="X39:X60" si="25">SUM(R39:W39)</f>
        <v>1</v>
      </c>
      <c r="Z39" s="232">
        <v>1</v>
      </c>
      <c r="AA39" s="233"/>
      <c r="AB39" s="233"/>
      <c r="AC39" s="233"/>
      <c r="AD39" s="233"/>
      <c r="AE39" s="233"/>
      <c r="AF39" s="232">
        <f t="shared" ref="AF39:AF60" si="26">SUM(Z39:AE39)</f>
        <v>1</v>
      </c>
      <c r="AH39" s="232">
        <v>1</v>
      </c>
      <c r="AI39" s="233"/>
      <c r="AJ39" s="233"/>
      <c r="AK39" s="233"/>
      <c r="AL39" s="233"/>
      <c r="AM39" s="233"/>
      <c r="AN39" s="232">
        <f t="shared" ref="AN39:AN60" si="27">SUM(AH39:AM39)</f>
        <v>1</v>
      </c>
      <c r="AP39" s="232">
        <v>1</v>
      </c>
      <c r="AQ39" s="233"/>
      <c r="AR39" s="233"/>
      <c r="AS39" s="233"/>
      <c r="AT39" s="233"/>
      <c r="AU39" s="233"/>
      <c r="AV39" s="232">
        <f t="shared" ref="AV39:AV60" si="28">SUM(AP39:AU39)</f>
        <v>1</v>
      </c>
      <c r="AX39" s="232">
        <v>0</v>
      </c>
      <c r="AY39" s="233"/>
      <c r="AZ39" s="233"/>
      <c r="BA39" s="233"/>
      <c r="BB39" s="233"/>
      <c r="BC39" s="233"/>
      <c r="BD39" s="232">
        <f t="shared" ref="BD39:BD60" si="29">SUM(AX39:BC39)</f>
        <v>0</v>
      </c>
      <c r="BF39" s="232"/>
      <c r="BG39" s="233"/>
      <c r="BH39" s="233"/>
      <c r="BI39" s="233"/>
      <c r="BJ39" s="233"/>
      <c r="BK39" s="233"/>
      <c r="BL39" s="232">
        <f t="shared" ref="BL39:BL60" si="30">SUM(BF39:BK39)</f>
        <v>0</v>
      </c>
      <c r="BN39" s="229">
        <f>B39+J39+R39+Z39+AH39+AP39+AX39+BF39</f>
        <v>6</v>
      </c>
      <c r="BO39" s="229">
        <f t="shared" ref="BO39:BS54" si="31">C39+K39+S39+AA39+AI39+AQ39+AY39+BG39</f>
        <v>0</v>
      </c>
      <c r="BP39" s="229">
        <f t="shared" si="31"/>
        <v>0</v>
      </c>
      <c r="BQ39" s="229">
        <f t="shared" si="31"/>
        <v>0</v>
      </c>
      <c r="BR39" s="229">
        <f t="shared" si="31"/>
        <v>0</v>
      </c>
      <c r="BS39" s="229">
        <f t="shared" si="31"/>
        <v>0</v>
      </c>
      <c r="BT39" s="232">
        <f t="shared" ref="BT39:BT49" si="32">SUM(BN39:BS39)</f>
        <v>6</v>
      </c>
    </row>
    <row r="40" spans="1:72" x14ac:dyDescent="0.25">
      <c r="A40" s="191" t="s">
        <v>191</v>
      </c>
      <c r="B40" s="232">
        <v>3</v>
      </c>
      <c r="C40" s="233"/>
      <c r="D40" s="233"/>
      <c r="E40" s="233"/>
      <c r="F40" s="233"/>
      <c r="G40" s="233"/>
      <c r="H40" s="232">
        <f t="shared" si="23"/>
        <v>3</v>
      </c>
      <c r="J40" s="232">
        <v>6</v>
      </c>
      <c r="K40" s="233"/>
      <c r="L40" s="233"/>
      <c r="M40" s="233"/>
      <c r="N40" s="233"/>
      <c r="O40" s="233"/>
      <c r="P40" s="232">
        <f t="shared" si="24"/>
        <v>6</v>
      </c>
      <c r="R40" s="232">
        <v>3</v>
      </c>
      <c r="S40" s="233"/>
      <c r="T40" s="233"/>
      <c r="U40" s="233"/>
      <c r="V40" s="233"/>
      <c r="W40" s="233"/>
      <c r="X40" s="232">
        <f t="shared" si="25"/>
        <v>3</v>
      </c>
      <c r="Z40" s="232">
        <v>2</v>
      </c>
      <c r="AA40" s="233"/>
      <c r="AB40" s="233"/>
      <c r="AC40" s="233"/>
      <c r="AD40" s="233"/>
      <c r="AE40" s="233"/>
      <c r="AF40" s="232">
        <f t="shared" si="26"/>
        <v>2</v>
      </c>
      <c r="AH40" s="232">
        <v>4</v>
      </c>
      <c r="AI40" s="233"/>
      <c r="AJ40" s="233"/>
      <c r="AK40" s="233"/>
      <c r="AL40" s="233"/>
      <c r="AM40" s="233"/>
      <c r="AN40" s="232">
        <f t="shared" si="27"/>
        <v>4</v>
      </c>
      <c r="AP40" s="232">
        <v>1</v>
      </c>
      <c r="AQ40" s="233"/>
      <c r="AR40" s="233"/>
      <c r="AS40" s="233"/>
      <c r="AT40" s="233"/>
      <c r="AU40" s="233"/>
      <c r="AV40" s="232">
        <f t="shared" si="28"/>
        <v>1</v>
      </c>
      <c r="AX40" s="232">
        <v>0</v>
      </c>
      <c r="AY40" s="233"/>
      <c r="AZ40" s="233"/>
      <c r="BA40" s="233"/>
      <c r="BB40" s="233"/>
      <c r="BC40" s="233"/>
      <c r="BD40" s="232">
        <f t="shared" si="29"/>
        <v>0</v>
      </c>
      <c r="BF40" s="232">
        <v>1</v>
      </c>
      <c r="BG40" s="233"/>
      <c r="BH40" s="233"/>
      <c r="BI40" s="233"/>
      <c r="BJ40" s="233"/>
      <c r="BK40" s="233"/>
      <c r="BL40" s="232">
        <f t="shared" si="30"/>
        <v>1</v>
      </c>
      <c r="BN40" s="229">
        <f t="shared" ref="BN40:BS60" si="33">B40+J40+R40+Z40+AH40+AP40+AX40+BF40</f>
        <v>20</v>
      </c>
      <c r="BO40" s="229">
        <f t="shared" si="31"/>
        <v>0</v>
      </c>
      <c r="BP40" s="229">
        <f t="shared" si="31"/>
        <v>0</v>
      </c>
      <c r="BQ40" s="229">
        <f t="shared" si="31"/>
        <v>0</v>
      </c>
      <c r="BR40" s="229">
        <f t="shared" si="31"/>
        <v>0</v>
      </c>
      <c r="BS40" s="229">
        <f t="shared" si="31"/>
        <v>0</v>
      </c>
      <c r="BT40" s="232">
        <f t="shared" si="32"/>
        <v>20</v>
      </c>
    </row>
    <row r="41" spans="1:72" x14ac:dyDescent="0.25">
      <c r="A41" s="194" t="s">
        <v>192</v>
      </c>
      <c r="B41" s="232"/>
      <c r="C41" s="233"/>
      <c r="D41" s="233"/>
      <c r="E41" s="233"/>
      <c r="F41" s="233"/>
      <c r="G41" s="233"/>
      <c r="H41" s="232">
        <f t="shared" si="23"/>
        <v>0</v>
      </c>
      <c r="J41" s="232">
        <v>1</v>
      </c>
      <c r="K41" s="233"/>
      <c r="L41" s="233"/>
      <c r="M41" s="233"/>
      <c r="N41" s="233"/>
      <c r="O41" s="233"/>
      <c r="P41" s="232">
        <f t="shared" si="24"/>
        <v>1</v>
      </c>
      <c r="R41" s="232"/>
      <c r="S41" s="233"/>
      <c r="T41" s="233"/>
      <c r="U41" s="233"/>
      <c r="V41" s="233"/>
      <c r="W41" s="233"/>
      <c r="X41" s="232">
        <f t="shared" si="25"/>
        <v>0</v>
      </c>
      <c r="Z41" s="232"/>
      <c r="AA41" s="233"/>
      <c r="AB41" s="233"/>
      <c r="AC41" s="233"/>
      <c r="AD41" s="233"/>
      <c r="AE41" s="233"/>
      <c r="AF41" s="232">
        <f t="shared" si="26"/>
        <v>0</v>
      </c>
      <c r="AH41" s="232"/>
      <c r="AI41" s="233"/>
      <c r="AJ41" s="233"/>
      <c r="AK41" s="233"/>
      <c r="AL41" s="233"/>
      <c r="AM41" s="233"/>
      <c r="AN41" s="232">
        <f t="shared" si="27"/>
        <v>0</v>
      </c>
      <c r="AP41" s="232">
        <v>1</v>
      </c>
      <c r="AQ41" s="233"/>
      <c r="AR41" s="233"/>
      <c r="AS41" s="233"/>
      <c r="AT41" s="233"/>
      <c r="AU41" s="233"/>
      <c r="AV41" s="232">
        <f t="shared" si="28"/>
        <v>1</v>
      </c>
      <c r="AX41" s="232">
        <v>0</v>
      </c>
      <c r="AY41" s="233"/>
      <c r="AZ41" s="233"/>
      <c r="BA41" s="233"/>
      <c r="BB41" s="233"/>
      <c r="BC41" s="233"/>
      <c r="BD41" s="232">
        <f t="shared" si="29"/>
        <v>0</v>
      </c>
      <c r="BF41" s="232"/>
      <c r="BG41" s="233"/>
      <c r="BH41" s="233"/>
      <c r="BI41" s="233"/>
      <c r="BJ41" s="233"/>
      <c r="BK41" s="233"/>
      <c r="BL41" s="232">
        <f t="shared" si="30"/>
        <v>0</v>
      </c>
      <c r="BN41" s="229">
        <f t="shared" si="33"/>
        <v>2</v>
      </c>
      <c r="BO41" s="229">
        <f t="shared" si="31"/>
        <v>0</v>
      </c>
      <c r="BP41" s="229">
        <f t="shared" si="31"/>
        <v>0</v>
      </c>
      <c r="BQ41" s="229">
        <f t="shared" si="31"/>
        <v>0</v>
      </c>
      <c r="BR41" s="229">
        <f t="shared" si="31"/>
        <v>0</v>
      </c>
      <c r="BS41" s="229">
        <f t="shared" si="31"/>
        <v>0</v>
      </c>
      <c r="BT41" s="232">
        <f t="shared" si="32"/>
        <v>2</v>
      </c>
    </row>
    <row r="42" spans="1:72" x14ac:dyDescent="0.25">
      <c r="A42" s="191" t="s">
        <v>193</v>
      </c>
      <c r="B42" s="232"/>
      <c r="C42" s="233"/>
      <c r="D42" s="233"/>
      <c r="E42" s="233"/>
      <c r="F42" s="233"/>
      <c r="G42" s="233"/>
      <c r="H42" s="232">
        <f t="shared" si="23"/>
        <v>0</v>
      </c>
      <c r="J42" s="233">
        <v>4</v>
      </c>
      <c r="K42" s="233"/>
      <c r="L42" s="233"/>
      <c r="M42" s="233"/>
      <c r="N42" s="233"/>
      <c r="O42" s="233"/>
      <c r="P42" s="232">
        <f t="shared" si="24"/>
        <v>4</v>
      </c>
      <c r="R42" s="232">
        <v>1</v>
      </c>
      <c r="S42" s="233"/>
      <c r="T42" s="233"/>
      <c r="U42" s="233"/>
      <c r="V42" s="233"/>
      <c r="W42" s="233"/>
      <c r="X42" s="232">
        <f t="shared" si="25"/>
        <v>1</v>
      </c>
      <c r="Z42" s="232"/>
      <c r="AA42" s="233"/>
      <c r="AB42" s="233"/>
      <c r="AC42" s="233"/>
      <c r="AD42" s="233"/>
      <c r="AE42" s="233"/>
      <c r="AF42" s="232">
        <f t="shared" si="26"/>
        <v>0</v>
      </c>
      <c r="AH42" s="232">
        <v>3</v>
      </c>
      <c r="AI42" s="233"/>
      <c r="AJ42" s="233"/>
      <c r="AK42" s="233"/>
      <c r="AL42" s="233"/>
      <c r="AM42" s="233"/>
      <c r="AN42" s="232">
        <f t="shared" si="27"/>
        <v>3</v>
      </c>
      <c r="AP42" s="232"/>
      <c r="AQ42" s="233"/>
      <c r="AR42" s="233"/>
      <c r="AS42" s="233"/>
      <c r="AT42" s="233"/>
      <c r="AU42" s="233"/>
      <c r="AV42" s="232">
        <f t="shared" si="28"/>
        <v>0</v>
      </c>
      <c r="AX42" s="232"/>
      <c r="AY42" s="233"/>
      <c r="AZ42" s="233"/>
      <c r="BA42" s="233"/>
      <c r="BB42" s="233"/>
      <c r="BC42" s="233"/>
      <c r="BD42" s="232">
        <f t="shared" si="29"/>
        <v>0</v>
      </c>
      <c r="BF42" s="232"/>
      <c r="BG42" s="233"/>
      <c r="BH42" s="233"/>
      <c r="BI42" s="233"/>
      <c r="BJ42" s="233"/>
      <c r="BK42" s="233"/>
      <c r="BL42" s="232">
        <f t="shared" si="30"/>
        <v>0</v>
      </c>
      <c r="BN42" s="229">
        <f t="shared" si="33"/>
        <v>8</v>
      </c>
      <c r="BO42" s="229">
        <f t="shared" si="31"/>
        <v>0</v>
      </c>
      <c r="BP42" s="229">
        <f t="shared" si="31"/>
        <v>0</v>
      </c>
      <c r="BQ42" s="229">
        <f t="shared" si="31"/>
        <v>0</v>
      </c>
      <c r="BR42" s="229">
        <f t="shared" si="31"/>
        <v>0</v>
      </c>
      <c r="BS42" s="229">
        <f t="shared" si="31"/>
        <v>0</v>
      </c>
      <c r="BT42" s="232">
        <f t="shared" si="32"/>
        <v>8</v>
      </c>
    </row>
    <row r="43" spans="1:72" x14ac:dyDescent="0.25">
      <c r="A43" s="191" t="s">
        <v>194</v>
      </c>
      <c r="B43" s="232">
        <v>1</v>
      </c>
      <c r="C43" s="233"/>
      <c r="D43" s="233"/>
      <c r="E43" s="233"/>
      <c r="F43" s="233">
        <v>1</v>
      </c>
      <c r="G43" s="233"/>
      <c r="H43" s="232">
        <f t="shared" si="23"/>
        <v>2</v>
      </c>
      <c r="J43" s="233">
        <v>3</v>
      </c>
      <c r="K43" s="233"/>
      <c r="L43" s="233"/>
      <c r="M43" s="233"/>
      <c r="N43" s="233"/>
      <c r="O43" s="233"/>
      <c r="P43" s="232">
        <f t="shared" si="24"/>
        <v>3</v>
      </c>
      <c r="R43" s="232">
        <v>1</v>
      </c>
      <c r="S43" s="233"/>
      <c r="T43" s="233"/>
      <c r="U43" s="233"/>
      <c r="V43" s="233"/>
      <c r="W43" s="233"/>
      <c r="X43" s="232">
        <f t="shared" si="25"/>
        <v>1</v>
      </c>
      <c r="Z43" s="232">
        <v>3</v>
      </c>
      <c r="AA43" s="233"/>
      <c r="AB43" s="233"/>
      <c r="AC43" s="233"/>
      <c r="AD43" s="233"/>
      <c r="AE43" s="233"/>
      <c r="AF43" s="232">
        <f t="shared" si="26"/>
        <v>3</v>
      </c>
      <c r="AH43" s="232">
        <v>2</v>
      </c>
      <c r="AI43" s="233"/>
      <c r="AJ43" s="233"/>
      <c r="AK43" s="233"/>
      <c r="AL43" s="233"/>
      <c r="AM43" s="233"/>
      <c r="AN43" s="232">
        <f t="shared" si="27"/>
        <v>2</v>
      </c>
      <c r="AP43" s="232">
        <v>0</v>
      </c>
      <c r="AQ43" s="233"/>
      <c r="AR43" s="233"/>
      <c r="AS43" s="233"/>
      <c r="AT43" s="233">
        <v>0</v>
      </c>
      <c r="AU43" s="233"/>
      <c r="AV43" s="232">
        <f t="shared" si="28"/>
        <v>0</v>
      </c>
      <c r="AX43" s="232">
        <v>1</v>
      </c>
      <c r="AY43" s="233"/>
      <c r="AZ43" s="233"/>
      <c r="BA43" s="233"/>
      <c r="BB43" s="233">
        <v>0</v>
      </c>
      <c r="BC43" s="233"/>
      <c r="BD43" s="232">
        <f t="shared" si="29"/>
        <v>1</v>
      </c>
      <c r="BF43" s="232">
        <v>0</v>
      </c>
      <c r="BG43" s="233"/>
      <c r="BH43" s="233"/>
      <c r="BI43" s="233"/>
      <c r="BJ43" s="233">
        <v>1</v>
      </c>
      <c r="BK43" s="233"/>
      <c r="BL43" s="232">
        <f t="shared" si="30"/>
        <v>1</v>
      </c>
      <c r="BN43" s="229">
        <f t="shared" si="33"/>
        <v>11</v>
      </c>
      <c r="BO43" s="229">
        <f t="shared" si="31"/>
        <v>0</v>
      </c>
      <c r="BP43" s="229">
        <f t="shared" si="31"/>
        <v>0</v>
      </c>
      <c r="BQ43" s="229">
        <f t="shared" si="31"/>
        <v>0</v>
      </c>
      <c r="BR43" s="229">
        <f t="shared" si="31"/>
        <v>2</v>
      </c>
      <c r="BS43" s="229">
        <f t="shared" si="31"/>
        <v>0</v>
      </c>
      <c r="BT43" s="232">
        <f t="shared" si="32"/>
        <v>13</v>
      </c>
    </row>
    <row r="44" spans="1:72" x14ac:dyDescent="0.25">
      <c r="A44" s="191" t="s">
        <v>195</v>
      </c>
      <c r="B44" s="232"/>
      <c r="C44" s="233"/>
      <c r="D44" s="233"/>
      <c r="E44" s="233"/>
      <c r="F44" s="233"/>
      <c r="G44" s="233"/>
      <c r="H44" s="232">
        <f t="shared" si="23"/>
        <v>0</v>
      </c>
      <c r="J44" s="233">
        <v>5</v>
      </c>
      <c r="K44" s="233"/>
      <c r="L44" s="233"/>
      <c r="M44" s="233"/>
      <c r="N44" s="233"/>
      <c r="O44" s="233"/>
      <c r="P44" s="232">
        <f t="shared" si="24"/>
        <v>5</v>
      </c>
      <c r="R44" s="232"/>
      <c r="S44" s="233"/>
      <c r="T44" s="233"/>
      <c r="U44" s="233"/>
      <c r="V44" s="233"/>
      <c r="W44" s="233"/>
      <c r="X44" s="232">
        <f t="shared" si="25"/>
        <v>0</v>
      </c>
      <c r="Z44" s="232"/>
      <c r="AA44" s="233"/>
      <c r="AB44" s="233"/>
      <c r="AC44" s="233"/>
      <c r="AD44" s="233"/>
      <c r="AE44" s="233"/>
      <c r="AF44" s="232">
        <f t="shared" si="26"/>
        <v>0</v>
      </c>
      <c r="AH44" s="232">
        <v>4</v>
      </c>
      <c r="AI44" s="233"/>
      <c r="AJ44" s="233"/>
      <c r="AK44" s="233"/>
      <c r="AL44" s="233"/>
      <c r="AM44" s="233"/>
      <c r="AN44" s="232">
        <f t="shared" si="27"/>
        <v>4</v>
      </c>
      <c r="AP44" s="232"/>
      <c r="AQ44" s="233"/>
      <c r="AR44" s="233"/>
      <c r="AS44" s="233"/>
      <c r="AT44" s="233"/>
      <c r="AU44" s="233"/>
      <c r="AV44" s="232">
        <f t="shared" si="28"/>
        <v>0</v>
      </c>
      <c r="AX44" s="232"/>
      <c r="AY44" s="233"/>
      <c r="AZ44" s="233"/>
      <c r="BA44" s="233"/>
      <c r="BB44" s="233"/>
      <c r="BC44" s="233"/>
      <c r="BD44" s="232">
        <f t="shared" si="29"/>
        <v>0</v>
      </c>
      <c r="BF44" s="232"/>
      <c r="BG44" s="233"/>
      <c r="BH44" s="233"/>
      <c r="BI44" s="233"/>
      <c r="BJ44" s="233"/>
      <c r="BK44" s="233"/>
      <c r="BL44" s="232">
        <f t="shared" si="30"/>
        <v>0</v>
      </c>
      <c r="BN44" s="229">
        <f t="shared" si="33"/>
        <v>9</v>
      </c>
      <c r="BO44" s="229">
        <f t="shared" si="31"/>
        <v>0</v>
      </c>
      <c r="BP44" s="229">
        <f t="shared" si="31"/>
        <v>0</v>
      </c>
      <c r="BQ44" s="229">
        <f t="shared" si="31"/>
        <v>0</v>
      </c>
      <c r="BR44" s="229">
        <f t="shared" si="31"/>
        <v>0</v>
      </c>
      <c r="BS44" s="229">
        <f t="shared" si="31"/>
        <v>0</v>
      </c>
      <c r="BT44" s="232">
        <f t="shared" si="32"/>
        <v>9</v>
      </c>
    </row>
    <row r="45" spans="1:72" x14ac:dyDescent="0.25">
      <c r="A45" s="191" t="s">
        <v>196</v>
      </c>
      <c r="B45" s="232"/>
      <c r="C45" s="233"/>
      <c r="D45" s="233"/>
      <c r="E45" s="233"/>
      <c r="F45" s="233"/>
      <c r="G45" s="233"/>
      <c r="H45" s="232">
        <f t="shared" si="23"/>
        <v>0</v>
      </c>
      <c r="J45" s="232">
        <v>1</v>
      </c>
      <c r="K45" s="233"/>
      <c r="L45" s="233"/>
      <c r="M45" s="233"/>
      <c r="N45" s="233"/>
      <c r="O45" s="233"/>
      <c r="P45" s="232">
        <f t="shared" si="24"/>
        <v>1</v>
      </c>
      <c r="R45" s="232"/>
      <c r="S45" s="233"/>
      <c r="T45" s="233"/>
      <c r="U45" s="233"/>
      <c r="V45" s="233"/>
      <c r="W45" s="233"/>
      <c r="X45" s="232">
        <f t="shared" si="25"/>
        <v>0</v>
      </c>
      <c r="Z45" s="232"/>
      <c r="AA45" s="233"/>
      <c r="AB45" s="233"/>
      <c r="AC45" s="233"/>
      <c r="AD45" s="233"/>
      <c r="AE45" s="233"/>
      <c r="AF45" s="232">
        <f t="shared" si="26"/>
        <v>0</v>
      </c>
      <c r="AH45" s="232"/>
      <c r="AI45" s="233"/>
      <c r="AJ45" s="233"/>
      <c r="AK45" s="233"/>
      <c r="AL45" s="233"/>
      <c r="AM45" s="233"/>
      <c r="AN45" s="232">
        <f t="shared" si="27"/>
        <v>0</v>
      </c>
      <c r="AP45" s="232"/>
      <c r="AQ45" s="233"/>
      <c r="AR45" s="233"/>
      <c r="AS45" s="233"/>
      <c r="AT45" s="233"/>
      <c r="AU45" s="233"/>
      <c r="AV45" s="232">
        <f t="shared" si="28"/>
        <v>0</v>
      </c>
      <c r="AX45" s="232"/>
      <c r="AY45" s="233"/>
      <c r="AZ45" s="233"/>
      <c r="BA45" s="233"/>
      <c r="BB45" s="233"/>
      <c r="BC45" s="233"/>
      <c r="BD45" s="232">
        <f t="shared" si="29"/>
        <v>0</v>
      </c>
      <c r="BF45" s="232"/>
      <c r="BG45" s="233"/>
      <c r="BH45" s="233"/>
      <c r="BI45" s="233"/>
      <c r="BJ45" s="233"/>
      <c r="BK45" s="233"/>
      <c r="BL45" s="232">
        <f t="shared" si="30"/>
        <v>0</v>
      </c>
      <c r="BN45" s="229">
        <f t="shared" si="33"/>
        <v>1</v>
      </c>
      <c r="BO45" s="229">
        <f t="shared" si="31"/>
        <v>0</v>
      </c>
      <c r="BP45" s="229">
        <f t="shared" si="31"/>
        <v>0</v>
      </c>
      <c r="BQ45" s="229">
        <f t="shared" si="31"/>
        <v>0</v>
      </c>
      <c r="BR45" s="229">
        <f t="shared" si="31"/>
        <v>0</v>
      </c>
      <c r="BS45" s="229">
        <f t="shared" si="31"/>
        <v>0</v>
      </c>
      <c r="BT45" s="232">
        <f t="shared" si="32"/>
        <v>1</v>
      </c>
    </row>
    <row r="46" spans="1:72" x14ac:dyDescent="0.25">
      <c r="A46" s="191" t="s">
        <v>197</v>
      </c>
      <c r="B46" s="232">
        <v>2</v>
      </c>
      <c r="C46" s="233"/>
      <c r="D46" s="233"/>
      <c r="E46" s="233"/>
      <c r="F46" s="233"/>
      <c r="G46" s="233"/>
      <c r="H46" s="232">
        <f t="shared" si="23"/>
        <v>2</v>
      </c>
      <c r="J46" s="232">
        <v>4</v>
      </c>
      <c r="K46" s="233"/>
      <c r="L46" s="233"/>
      <c r="M46" s="233"/>
      <c r="N46" s="233"/>
      <c r="O46" s="233"/>
      <c r="P46" s="232">
        <f t="shared" si="24"/>
        <v>4</v>
      </c>
      <c r="R46" s="232">
        <v>1</v>
      </c>
      <c r="S46" s="233"/>
      <c r="T46" s="233"/>
      <c r="U46" s="233"/>
      <c r="V46" s="233"/>
      <c r="W46" s="233"/>
      <c r="X46" s="232">
        <f t="shared" si="25"/>
        <v>1</v>
      </c>
      <c r="Z46" s="232">
        <v>1</v>
      </c>
      <c r="AA46" s="233"/>
      <c r="AB46" s="233"/>
      <c r="AC46" s="233"/>
      <c r="AD46" s="233"/>
      <c r="AE46" s="233"/>
      <c r="AF46" s="232">
        <f t="shared" si="26"/>
        <v>1</v>
      </c>
      <c r="AH46" s="232">
        <v>3</v>
      </c>
      <c r="AI46" s="233"/>
      <c r="AJ46" s="233"/>
      <c r="AK46" s="233"/>
      <c r="AL46" s="233"/>
      <c r="AM46" s="233"/>
      <c r="AN46" s="232">
        <f t="shared" si="27"/>
        <v>3</v>
      </c>
      <c r="AP46" s="232">
        <v>1</v>
      </c>
      <c r="AQ46" s="233"/>
      <c r="AR46" s="233"/>
      <c r="AS46" s="233"/>
      <c r="AT46" s="233"/>
      <c r="AU46" s="233"/>
      <c r="AV46" s="232">
        <f t="shared" si="28"/>
        <v>1</v>
      </c>
      <c r="AX46" s="232">
        <v>0</v>
      </c>
      <c r="AY46" s="233"/>
      <c r="AZ46" s="233"/>
      <c r="BA46" s="233"/>
      <c r="BB46" s="233"/>
      <c r="BC46" s="233"/>
      <c r="BD46" s="232">
        <f t="shared" si="29"/>
        <v>0</v>
      </c>
      <c r="BF46" s="232">
        <v>1</v>
      </c>
      <c r="BG46" s="233"/>
      <c r="BH46" s="233"/>
      <c r="BI46" s="233"/>
      <c r="BJ46" s="233"/>
      <c r="BK46" s="233"/>
      <c r="BL46" s="232">
        <f t="shared" si="30"/>
        <v>1</v>
      </c>
      <c r="BN46" s="229">
        <f t="shared" si="33"/>
        <v>13</v>
      </c>
      <c r="BO46" s="229">
        <f t="shared" si="31"/>
        <v>0</v>
      </c>
      <c r="BP46" s="229">
        <f t="shared" si="31"/>
        <v>0</v>
      </c>
      <c r="BQ46" s="229">
        <f t="shared" si="31"/>
        <v>0</v>
      </c>
      <c r="BR46" s="229">
        <f t="shared" si="31"/>
        <v>0</v>
      </c>
      <c r="BS46" s="229">
        <f t="shared" si="31"/>
        <v>0</v>
      </c>
      <c r="BT46" s="232">
        <f t="shared" si="32"/>
        <v>13</v>
      </c>
    </row>
    <row r="47" spans="1:72" x14ac:dyDescent="0.25">
      <c r="A47" s="191" t="s">
        <v>198</v>
      </c>
      <c r="B47" s="232">
        <v>1</v>
      </c>
      <c r="C47" s="233"/>
      <c r="D47" s="233"/>
      <c r="E47" s="233"/>
      <c r="F47" s="233"/>
      <c r="G47" s="233"/>
      <c r="H47" s="232">
        <f t="shared" si="23"/>
        <v>1</v>
      </c>
      <c r="J47" s="232">
        <v>1</v>
      </c>
      <c r="K47" s="233"/>
      <c r="L47" s="233"/>
      <c r="M47" s="233"/>
      <c r="N47" s="233"/>
      <c r="O47" s="233"/>
      <c r="P47" s="232">
        <f t="shared" si="24"/>
        <v>1</v>
      </c>
      <c r="R47" s="232">
        <v>1</v>
      </c>
      <c r="S47" s="233"/>
      <c r="T47" s="233"/>
      <c r="U47" s="233"/>
      <c r="V47" s="233"/>
      <c r="W47" s="233"/>
      <c r="X47" s="232">
        <f t="shared" si="25"/>
        <v>1</v>
      </c>
      <c r="Z47" s="232">
        <v>1</v>
      </c>
      <c r="AA47" s="233"/>
      <c r="AB47" s="233"/>
      <c r="AC47" s="233"/>
      <c r="AD47" s="233"/>
      <c r="AE47" s="233"/>
      <c r="AF47" s="232">
        <f t="shared" si="26"/>
        <v>1</v>
      </c>
      <c r="AH47" s="232">
        <v>2</v>
      </c>
      <c r="AI47" s="233"/>
      <c r="AJ47" s="233"/>
      <c r="AK47" s="233"/>
      <c r="AL47" s="233"/>
      <c r="AM47" s="233"/>
      <c r="AN47" s="232">
        <f t="shared" si="27"/>
        <v>2</v>
      </c>
      <c r="AP47" s="232">
        <v>1</v>
      </c>
      <c r="AQ47" s="233"/>
      <c r="AR47" s="233"/>
      <c r="AS47" s="233"/>
      <c r="AT47" s="233"/>
      <c r="AU47" s="233"/>
      <c r="AV47" s="232">
        <f t="shared" si="28"/>
        <v>1</v>
      </c>
      <c r="AX47" s="232"/>
      <c r="AY47" s="233"/>
      <c r="AZ47" s="233"/>
      <c r="BA47" s="233"/>
      <c r="BB47" s="233"/>
      <c r="BC47" s="233"/>
      <c r="BD47" s="232">
        <f t="shared" si="29"/>
        <v>0</v>
      </c>
      <c r="BF47" s="232"/>
      <c r="BG47" s="233"/>
      <c r="BH47" s="233"/>
      <c r="BI47" s="233"/>
      <c r="BJ47" s="233"/>
      <c r="BK47" s="233"/>
      <c r="BL47" s="232">
        <f t="shared" si="30"/>
        <v>0</v>
      </c>
      <c r="BN47" s="229">
        <f t="shared" si="33"/>
        <v>7</v>
      </c>
      <c r="BO47" s="229">
        <f t="shared" si="31"/>
        <v>0</v>
      </c>
      <c r="BP47" s="229">
        <f t="shared" si="31"/>
        <v>0</v>
      </c>
      <c r="BQ47" s="229">
        <f t="shared" si="31"/>
        <v>0</v>
      </c>
      <c r="BR47" s="229">
        <f t="shared" si="31"/>
        <v>0</v>
      </c>
      <c r="BS47" s="229">
        <f t="shared" si="31"/>
        <v>0</v>
      </c>
      <c r="BT47" s="232">
        <f t="shared" si="32"/>
        <v>7</v>
      </c>
    </row>
    <row r="48" spans="1:72" x14ac:dyDescent="0.25">
      <c r="A48" s="191" t="s">
        <v>199</v>
      </c>
      <c r="B48" s="232">
        <v>1</v>
      </c>
      <c r="C48" s="233"/>
      <c r="D48" s="233"/>
      <c r="E48" s="233"/>
      <c r="F48" s="233"/>
      <c r="G48" s="233"/>
      <c r="H48" s="232">
        <f t="shared" si="23"/>
        <v>1</v>
      </c>
      <c r="J48" s="232">
        <v>3</v>
      </c>
      <c r="K48" s="233"/>
      <c r="L48" s="233"/>
      <c r="M48" s="233"/>
      <c r="N48" s="233"/>
      <c r="O48" s="233"/>
      <c r="P48" s="232">
        <f t="shared" si="24"/>
        <v>3</v>
      </c>
      <c r="R48" s="232">
        <v>2</v>
      </c>
      <c r="S48" s="233"/>
      <c r="T48" s="233"/>
      <c r="U48" s="233"/>
      <c r="V48" s="233"/>
      <c r="W48" s="233"/>
      <c r="X48" s="232">
        <f t="shared" si="25"/>
        <v>2</v>
      </c>
      <c r="Z48" s="232">
        <v>1</v>
      </c>
      <c r="AA48" s="233"/>
      <c r="AB48" s="233"/>
      <c r="AC48" s="233"/>
      <c r="AD48" s="233"/>
      <c r="AE48" s="233"/>
      <c r="AF48" s="232">
        <f t="shared" si="26"/>
        <v>1</v>
      </c>
      <c r="AH48" s="307">
        <v>2</v>
      </c>
      <c r="AI48" s="233"/>
      <c r="AJ48" s="233"/>
      <c r="AK48" s="233"/>
      <c r="AL48" s="233"/>
      <c r="AM48" s="233"/>
      <c r="AN48" s="232">
        <f t="shared" si="27"/>
        <v>2</v>
      </c>
      <c r="AP48" s="232">
        <v>0</v>
      </c>
      <c r="AQ48" s="233"/>
      <c r="AR48" s="233"/>
      <c r="AS48" s="233"/>
      <c r="AT48" s="233"/>
      <c r="AU48" s="233"/>
      <c r="AV48" s="232">
        <f t="shared" si="28"/>
        <v>0</v>
      </c>
      <c r="AX48" s="232">
        <v>0</v>
      </c>
      <c r="AY48" s="233"/>
      <c r="AZ48" s="233"/>
      <c r="BA48" s="233"/>
      <c r="BB48" s="233"/>
      <c r="BC48" s="233"/>
      <c r="BD48" s="232">
        <f t="shared" si="29"/>
        <v>0</v>
      </c>
      <c r="BF48" s="232"/>
      <c r="BG48" s="233"/>
      <c r="BH48" s="233"/>
      <c r="BI48" s="233"/>
      <c r="BJ48" s="233"/>
      <c r="BK48" s="233"/>
      <c r="BL48" s="232">
        <f t="shared" si="30"/>
        <v>0</v>
      </c>
      <c r="BN48" s="229">
        <f t="shared" si="33"/>
        <v>9</v>
      </c>
      <c r="BO48" s="229">
        <f t="shared" si="31"/>
        <v>0</v>
      </c>
      <c r="BP48" s="229">
        <f t="shared" si="31"/>
        <v>0</v>
      </c>
      <c r="BQ48" s="229">
        <f t="shared" si="31"/>
        <v>0</v>
      </c>
      <c r="BR48" s="229">
        <f t="shared" si="31"/>
        <v>0</v>
      </c>
      <c r="BS48" s="229">
        <f t="shared" si="31"/>
        <v>0</v>
      </c>
      <c r="BT48" s="232">
        <f t="shared" si="32"/>
        <v>9</v>
      </c>
    </row>
    <row r="49" spans="1:72" x14ac:dyDescent="0.25">
      <c r="A49" s="191" t="s">
        <v>200</v>
      </c>
      <c r="B49" s="232">
        <v>2</v>
      </c>
      <c r="C49" s="233"/>
      <c r="D49" s="233"/>
      <c r="E49" s="233"/>
      <c r="F49" s="233"/>
      <c r="G49" s="233"/>
      <c r="H49" s="232">
        <f t="shared" si="23"/>
        <v>2</v>
      </c>
      <c r="J49" s="232">
        <v>3</v>
      </c>
      <c r="K49" s="233"/>
      <c r="L49" s="233"/>
      <c r="M49" s="233"/>
      <c r="N49" s="233"/>
      <c r="O49" s="233"/>
      <c r="P49" s="232">
        <f t="shared" si="24"/>
        <v>3</v>
      </c>
      <c r="R49" s="232">
        <v>1</v>
      </c>
      <c r="S49" s="233"/>
      <c r="T49" s="233"/>
      <c r="U49" s="233"/>
      <c r="V49" s="233"/>
      <c r="W49" s="233"/>
      <c r="X49" s="232">
        <f t="shared" si="25"/>
        <v>1</v>
      </c>
      <c r="Z49" s="232">
        <v>1</v>
      </c>
      <c r="AA49" s="233"/>
      <c r="AB49" s="233"/>
      <c r="AC49" s="233"/>
      <c r="AD49" s="233"/>
      <c r="AE49" s="233"/>
      <c r="AF49" s="232">
        <f t="shared" si="26"/>
        <v>1</v>
      </c>
      <c r="AH49" s="232">
        <v>4</v>
      </c>
      <c r="AI49" s="233"/>
      <c r="AJ49" s="233"/>
      <c r="AK49" s="233"/>
      <c r="AL49" s="233"/>
      <c r="AM49" s="233"/>
      <c r="AN49" s="232">
        <f t="shared" si="27"/>
        <v>4</v>
      </c>
      <c r="AP49" s="232">
        <v>1</v>
      </c>
      <c r="AQ49" s="233"/>
      <c r="AR49" s="233"/>
      <c r="AS49" s="233"/>
      <c r="AT49" s="233"/>
      <c r="AU49" s="233"/>
      <c r="AV49" s="232">
        <f t="shared" si="28"/>
        <v>1</v>
      </c>
      <c r="AX49" s="232">
        <v>0</v>
      </c>
      <c r="AY49" s="233"/>
      <c r="AZ49" s="233"/>
      <c r="BA49" s="233"/>
      <c r="BB49" s="233"/>
      <c r="BC49" s="233"/>
      <c r="BD49" s="232">
        <f t="shared" si="29"/>
        <v>0</v>
      </c>
      <c r="BF49" s="232">
        <v>1</v>
      </c>
      <c r="BG49" s="233"/>
      <c r="BH49" s="233"/>
      <c r="BI49" s="233"/>
      <c r="BJ49" s="233"/>
      <c r="BK49" s="233"/>
      <c r="BL49" s="232">
        <f t="shared" si="30"/>
        <v>1</v>
      </c>
      <c r="BN49" s="229">
        <f t="shared" si="33"/>
        <v>13</v>
      </c>
      <c r="BO49" s="229">
        <f t="shared" si="31"/>
        <v>0</v>
      </c>
      <c r="BP49" s="229">
        <f t="shared" si="31"/>
        <v>0</v>
      </c>
      <c r="BQ49" s="229">
        <f t="shared" si="31"/>
        <v>0</v>
      </c>
      <c r="BR49" s="229">
        <f t="shared" si="31"/>
        <v>0</v>
      </c>
      <c r="BS49" s="229">
        <f t="shared" si="31"/>
        <v>0</v>
      </c>
      <c r="BT49" s="232">
        <f t="shared" si="32"/>
        <v>13</v>
      </c>
    </row>
    <row r="50" spans="1:72" x14ac:dyDescent="0.25">
      <c r="A50" s="191" t="s">
        <v>201</v>
      </c>
      <c r="B50" s="233">
        <v>4</v>
      </c>
      <c r="C50" s="233">
        <v>4</v>
      </c>
      <c r="D50" s="233"/>
      <c r="E50" s="233"/>
      <c r="F50" s="233"/>
      <c r="G50" s="233"/>
      <c r="H50" s="232">
        <f>SUM(B50:G50)</f>
        <v>8</v>
      </c>
      <c r="J50" s="233">
        <v>10</v>
      </c>
      <c r="K50" s="233">
        <v>12</v>
      </c>
      <c r="L50" s="233"/>
      <c r="M50" s="233"/>
      <c r="N50" s="233"/>
      <c r="O50" s="233"/>
      <c r="P50" s="232">
        <f>SUM(J50:O50)</f>
        <v>22</v>
      </c>
      <c r="R50" s="233">
        <v>7</v>
      </c>
      <c r="S50" s="233">
        <v>4</v>
      </c>
      <c r="T50" s="233"/>
      <c r="U50" s="233"/>
      <c r="V50" s="233"/>
      <c r="W50" s="233"/>
      <c r="X50" s="232">
        <f>SUM(R50:W50)</f>
        <v>11</v>
      </c>
      <c r="Z50" s="233">
        <v>5</v>
      </c>
      <c r="AA50" s="233">
        <v>5</v>
      </c>
      <c r="AB50" s="233"/>
      <c r="AC50" s="233"/>
      <c r="AD50" s="233"/>
      <c r="AE50" s="233"/>
      <c r="AF50" s="232">
        <f>SUM(Z50:AE50)</f>
        <v>10</v>
      </c>
      <c r="AH50" s="308">
        <v>5</v>
      </c>
      <c r="AI50" s="233">
        <v>12</v>
      </c>
      <c r="AJ50" s="233"/>
      <c r="AK50" s="233"/>
      <c r="AL50" s="233"/>
      <c r="AM50" s="233"/>
      <c r="AN50" s="232">
        <f>SUM(AH50:AM50)</f>
        <v>17</v>
      </c>
      <c r="AP50" s="233">
        <v>0</v>
      </c>
      <c r="AQ50" s="233">
        <v>3</v>
      </c>
      <c r="AR50" s="233"/>
      <c r="AS50" s="233"/>
      <c r="AT50" s="233">
        <v>3</v>
      </c>
      <c r="AU50" s="233"/>
      <c r="AV50" s="232">
        <f>SUM(AP50:AU50)</f>
        <v>6</v>
      </c>
      <c r="AX50" s="233">
        <v>3</v>
      </c>
      <c r="AY50" s="233">
        <v>1</v>
      </c>
      <c r="AZ50" s="233"/>
      <c r="BA50" s="233"/>
      <c r="BB50" s="233">
        <v>1</v>
      </c>
      <c r="BC50" s="233"/>
      <c r="BD50" s="232">
        <f>SUM(AX50:BC50)</f>
        <v>5</v>
      </c>
      <c r="BF50" s="233"/>
      <c r="BG50" s="233"/>
      <c r="BH50" s="233"/>
      <c r="BI50" s="233"/>
      <c r="BJ50" s="233"/>
      <c r="BK50" s="233"/>
      <c r="BL50" s="232">
        <f>SUM(BF50:BK50)</f>
        <v>0</v>
      </c>
      <c r="BN50" s="229">
        <f t="shared" si="33"/>
        <v>34</v>
      </c>
      <c r="BO50" s="229">
        <f t="shared" si="31"/>
        <v>41</v>
      </c>
      <c r="BP50" s="229">
        <f t="shared" si="31"/>
        <v>0</v>
      </c>
      <c r="BQ50" s="229">
        <f t="shared" si="31"/>
        <v>0</v>
      </c>
      <c r="BR50" s="229">
        <f t="shared" si="31"/>
        <v>4</v>
      </c>
      <c r="BS50" s="229">
        <f t="shared" si="31"/>
        <v>0</v>
      </c>
      <c r="BT50" s="232">
        <f>SUM(BN50:BS50)</f>
        <v>79</v>
      </c>
    </row>
    <row r="51" spans="1:72" x14ac:dyDescent="0.25">
      <c r="A51" s="191" t="s">
        <v>202</v>
      </c>
      <c r="B51" s="233">
        <v>2</v>
      </c>
      <c r="C51" s="233"/>
      <c r="D51" s="233"/>
      <c r="E51" s="233"/>
      <c r="F51" s="233"/>
      <c r="G51" s="233"/>
      <c r="H51" s="232">
        <f t="shared" si="23"/>
        <v>2</v>
      </c>
      <c r="J51" s="233">
        <f>6+2</f>
        <v>8</v>
      </c>
      <c r="K51" s="233"/>
      <c r="L51" s="233"/>
      <c r="M51" s="233"/>
      <c r="N51" s="233"/>
      <c r="O51" s="233"/>
      <c r="P51" s="232">
        <f t="shared" si="24"/>
        <v>8</v>
      </c>
      <c r="R51" s="233">
        <v>3</v>
      </c>
      <c r="S51" s="233"/>
      <c r="T51" s="233"/>
      <c r="U51" s="233"/>
      <c r="V51" s="233"/>
      <c r="W51" s="233"/>
      <c r="X51" s="232">
        <f t="shared" si="25"/>
        <v>3</v>
      </c>
      <c r="Z51" s="233">
        <v>3</v>
      </c>
      <c r="AA51" s="233"/>
      <c r="AB51" s="233"/>
      <c r="AC51" s="233"/>
      <c r="AD51" s="233"/>
      <c r="AE51" s="233"/>
      <c r="AF51" s="232">
        <f t="shared" si="26"/>
        <v>3</v>
      </c>
      <c r="AH51" s="307">
        <v>8</v>
      </c>
      <c r="AI51" s="233"/>
      <c r="AJ51" s="233"/>
      <c r="AK51" s="233"/>
      <c r="AL51" s="233"/>
      <c r="AM51" s="233"/>
      <c r="AN51" s="232">
        <f t="shared" si="27"/>
        <v>8</v>
      </c>
      <c r="AP51" s="233">
        <v>2</v>
      </c>
      <c r="AQ51" s="233"/>
      <c r="AR51" s="233"/>
      <c r="AS51" s="233"/>
      <c r="AT51" s="233"/>
      <c r="AU51" s="233"/>
      <c r="AV51" s="232">
        <f t="shared" si="28"/>
        <v>2</v>
      </c>
      <c r="AX51" s="233">
        <v>0</v>
      </c>
      <c r="AY51" s="233"/>
      <c r="AZ51" s="233"/>
      <c r="BA51" s="233"/>
      <c r="BB51" s="233"/>
      <c r="BC51" s="233"/>
      <c r="BD51" s="232">
        <f t="shared" si="29"/>
        <v>0</v>
      </c>
      <c r="BF51" s="233"/>
      <c r="BG51" s="233"/>
      <c r="BH51" s="233"/>
      <c r="BI51" s="233"/>
      <c r="BJ51" s="233"/>
      <c r="BK51" s="233"/>
      <c r="BL51" s="232">
        <f t="shared" si="30"/>
        <v>0</v>
      </c>
      <c r="BN51" s="229">
        <f t="shared" si="33"/>
        <v>26</v>
      </c>
      <c r="BO51" s="229">
        <f t="shared" si="31"/>
        <v>0</v>
      </c>
      <c r="BP51" s="229">
        <f t="shared" si="31"/>
        <v>0</v>
      </c>
      <c r="BQ51" s="229">
        <f t="shared" si="31"/>
        <v>0</v>
      </c>
      <c r="BR51" s="229">
        <f t="shared" si="31"/>
        <v>0</v>
      </c>
      <c r="BS51" s="229">
        <f t="shared" si="31"/>
        <v>0</v>
      </c>
      <c r="BT51" s="232">
        <f t="shared" ref="BT51:BT60" si="34">SUM(BN51:BS51)</f>
        <v>26</v>
      </c>
    </row>
    <row r="52" spans="1:72" x14ac:dyDescent="0.25">
      <c r="A52" s="191" t="s">
        <v>323</v>
      </c>
      <c r="B52" s="233"/>
      <c r="C52" s="233"/>
      <c r="D52" s="233">
        <v>2</v>
      </c>
      <c r="E52" s="233"/>
      <c r="F52" s="233"/>
      <c r="G52" s="233"/>
      <c r="H52" s="232">
        <f t="shared" si="23"/>
        <v>2</v>
      </c>
      <c r="J52" s="233"/>
      <c r="K52" s="233"/>
      <c r="L52" s="233">
        <v>6</v>
      </c>
      <c r="M52" s="233"/>
      <c r="N52" s="233"/>
      <c r="O52" s="233"/>
      <c r="P52" s="232">
        <f t="shared" si="24"/>
        <v>6</v>
      </c>
      <c r="R52" s="233"/>
      <c r="S52" s="233"/>
      <c r="T52" s="233">
        <v>2</v>
      </c>
      <c r="U52" s="233"/>
      <c r="V52" s="233"/>
      <c r="W52" s="233"/>
      <c r="X52" s="232">
        <f t="shared" si="25"/>
        <v>2</v>
      </c>
      <c r="Z52" s="233"/>
      <c r="AA52" s="233"/>
      <c r="AB52" s="233">
        <v>2</v>
      </c>
      <c r="AC52" s="233"/>
      <c r="AD52" s="233"/>
      <c r="AE52" s="233"/>
      <c r="AF52" s="232">
        <f t="shared" si="26"/>
        <v>2</v>
      </c>
      <c r="AH52" s="233"/>
      <c r="AI52" s="233"/>
      <c r="AJ52" s="233">
        <v>4</v>
      </c>
      <c r="AK52" s="233"/>
      <c r="AL52" s="233"/>
      <c r="AM52" s="233"/>
      <c r="AN52" s="232">
        <f t="shared" si="27"/>
        <v>4</v>
      </c>
      <c r="AP52" s="233"/>
      <c r="AQ52" s="233"/>
      <c r="AR52" s="233">
        <v>1</v>
      </c>
      <c r="AS52" s="233"/>
      <c r="AT52" s="233"/>
      <c r="AU52" s="233"/>
      <c r="AV52" s="232">
        <f t="shared" si="28"/>
        <v>1</v>
      </c>
      <c r="AX52" s="233"/>
      <c r="AY52" s="233"/>
      <c r="AZ52" s="233">
        <v>0</v>
      </c>
      <c r="BA52" s="233"/>
      <c r="BB52" s="233"/>
      <c r="BC52" s="233"/>
      <c r="BD52" s="232">
        <f t="shared" si="29"/>
        <v>0</v>
      </c>
      <c r="BF52" s="233"/>
      <c r="BG52" s="233"/>
      <c r="BH52" s="233">
        <v>1</v>
      </c>
      <c r="BI52" s="233"/>
      <c r="BJ52" s="233"/>
      <c r="BK52" s="233"/>
      <c r="BL52" s="232">
        <f t="shared" si="30"/>
        <v>1</v>
      </c>
      <c r="BN52" s="229">
        <f t="shared" si="33"/>
        <v>0</v>
      </c>
      <c r="BO52" s="229">
        <f t="shared" si="31"/>
        <v>0</v>
      </c>
      <c r="BP52" s="229">
        <f t="shared" si="31"/>
        <v>18</v>
      </c>
      <c r="BQ52" s="229">
        <f t="shared" si="31"/>
        <v>0</v>
      </c>
      <c r="BR52" s="229">
        <f t="shared" si="31"/>
        <v>0</v>
      </c>
      <c r="BS52" s="229">
        <f t="shared" si="31"/>
        <v>0</v>
      </c>
      <c r="BT52" s="232">
        <f t="shared" si="34"/>
        <v>18</v>
      </c>
    </row>
    <row r="53" spans="1:72" x14ac:dyDescent="0.25">
      <c r="A53" s="191" t="s">
        <v>203</v>
      </c>
      <c r="B53" s="233"/>
      <c r="C53" s="233"/>
      <c r="D53" s="233"/>
      <c r="E53" s="233"/>
      <c r="F53" s="233"/>
      <c r="G53" s="233"/>
      <c r="H53" s="232">
        <f t="shared" si="23"/>
        <v>0</v>
      </c>
      <c r="J53" s="233">
        <v>1</v>
      </c>
      <c r="K53" s="233"/>
      <c r="L53" s="233"/>
      <c r="M53" s="233"/>
      <c r="N53" s="233"/>
      <c r="O53" s="233"/>
      <c r="P53" s="232">
        <f t="shared" si="24"/>
        <v>1</v>
      </c>
      <c r="R53" s="233">
        <v>1</v>
      </c>
      <c r="S53" s="233"/>
      <c r="T53" s="233"/>
      <c r="U53" s="233"/>
      <c r="V53" s="233"/>
      <c r="W53" s="233"/>
      <c r="X53" s="232">
        <f t="shared" si="25"/>
        <v>1</v>
      </c>
      <c r="Z53" s="233"/>
      <c r="AA53" s="233"/>
      <c r="AB53" s="233"/>
      <c r="AC53" s="233"/>
      <c r="AD53" s="233"/>
      <c r="AE53" s="233"/>
      <c r="AF53" s="232">
        <f t="shared" si="26"/>
        <v>0</v>
      </c>
      <c r="AH53" s="233"/>
      <c r="AI53" s="233"/>
      <c r="AJ53" s="233"/>
      <c r="AK53" s="233"/>
      <c r="AL53" s="233"/>
      <c r="AM53" s="233"/>
      <c r="AN53" s="232">
        <f t="shared" si="27"/>
        <v>0</v>
      </c>
      <c r="AP53" s="233"/>
      <c r="AQ53" s="233"/>
      <c r="AR53" s="233"/>
      <c r="AS53" s="233"/>
      <c r="AT53" s="233"/>
      <c r="AU53" s="233">
        <v>0</v>
      </c>
      <c r="AV53" s="232">
        <f t="shared" si="28"/>
        <v>0</v>
      </c>
      <c r="AX53" s="233"/>
      <c r="AY53" s="233"/>
      <c r="AZ53" s="233"/>
      <c r="BA53" s="233"/>
      <c r="BB53" s="233"/>
      <c r="BC53" s="233">
        <v>0</v>
      </c>
      <c r="BD53" s="232">
        <f t="shared" si="29"/>
        <v>0</v>
      </c>
      <c r="BF53" s="233"/>
      <c r="BG53" s="233"/>
      <c r="BH53" s="233"/>
      <c r="BI53" s="233"/>
      <c r="BJ53" s="233"/>
      <c r="BK53" s="233"/>
      <c r="BL53" s="232">
        <f t="shared" si="30"/>
        <v>0</v>
      </c>
      <c r="BN53" s="229">
        <f t="shared" si="33"/>
        <v>2</v>
      </c>
      <c r="BO53" s="229">
        <f t="shared" si="31"/>
        <v>0</v>
      </c>
      <c r="BP53" s="229">
        <f t="shared" si="31"/>
        <v>0</v>
      </c>
      <c r="BQ53" s="229">
        <f t="shared" si="31"/>
        <v>0</v>
      </c>
      <c r="BR53" s="229">
        <f t="shared" si="31"/>
        <v>0</v>
      </c>
      <c r="BS53" s="229">
        <f t="shared" si="31"/>
        <v>0</v>
      </c>
      <c r="BT53" s="232">
        <f t="shared" si="34"/>
        <v>2</v>
      </c>
    </row>
    <row r="54" spans="1:72" x14ac:dyDescent="0.25">
      <c r="A54" s="194" t="s">
        <v>204</v>
      </c>
      <c r="B54" s="233"/>
      <c r="C54" s="233">
        <v>1</v>
      </c>
      <c r="D54" s="233"/>
      <c r="E54" s="233"/>
      <c r="F54" s="233"/>
      <c r="G54" s="233"/>
      <c r="H54" s="232">
        <f t="shared" si="23"/>
        <v>1</v>
      </c>
      <c r="J54" s="233"/>
      <c r="K54" s="233">
        <v>1</v>
      </c>
      <c r="L54" s="233"/>
      <c r="M54" s="233"/>
      <c r="N54" s="233"/>
      <c r="O54" s="233"/>
      <c r="P54" s="232">
        <f t="shared" si="24"/>
        <v>1</v>
      </c>
      <c r="R54" s="233"/>
      <c r="S54" s="233">
        <v>1</v>
      </c>
      <c r="T54" s="233"/>
      <c r="U54" s="233"/>
      <c r="V54" s="233"/>
      <c r="W54" s="233"/>
      <c r="X54" s="232">
        <f t="shared" si="25"/>
        <v>1</v>
      </c>
      <c r="Z54" s="233"/>
      <c r="AA54" s="233">
        <v>1</v>
      </c>
      <c r="AB54" s="233"/>
      <c r="AC54" s="233"/>
      <c r="AD54" s="233"/>
      <c r="AE54" s="233"/>
      <c r="AF54" s="232">
        <f t="shared" si="26"/>
        <v>1</v>
      </c>
      <c r="AH54" s="233"/>
      <c r="AI54" s="233"/>
      <c r="AJ54" s="233"/>
      <c r="AK54" s="233"/>
      <c r="AL54" s="233"/>
      <c r="AM54" s="233"/>
      <c r="AN54" s="232">
        <f t="shared" si="27"/>
        <v>0</v>
      </c>
      <c r="AP54" s="233"/>
      <c r="AQ54" s="233">
        <v>1</v>
      </c>
      <c r="AR54" s="233"/>
      <c r="AS54" s="233"/>
      <c r="AT54" s="233"/>
      <c r="AU54" s="233"/>
      <c r="AV54" s="232">
        <f t="shared" si="28"/>
        <v>1</v>
      </c>
      <c r="AX54" s="233"/>
      <c r="AY54" s="233"/>
      <c r="AZ54" s="233"/>
      <c r="BA54" s="233"/>
      <c r="BB54" s="233"/>
      <c r="BC54" s="233"/>
      <c r="BD54" s="232">
        <f t="shared" si="29"/>
        <v>0</v>
      </c>
      <c r="BF54" s="233"/>
      <c r="BG54" s="233"/>
      <c r="BH54" s="233"/>
      <c r="BI54" s="233"/>
      <c r="BJ54" s="233"/>
      <c r="BK54" s="233"/>
      <c r="BL54" s="232">
        <f t="shared" si="30"/>
        <v>0</v>
      </c>
      <c r="BN54" s="229">
        <f t="shared" si="33"/>
        <v>0</v>
      </c>
      <c r="BO54" s="229">
        <f t="shared" si="31"/>
        <v>5</v>
      </c>
      <c r="BP54" s="229">
        <f t="shared" si="31"/>
        <v>0</v>
      </c>
      <c r="BQ54" s="229">
        <f t="shared" si="31"/>
        <v>0</v>
      </c>
      <c r="BR54" s="229">
        <f t="shared" si="31"/>
        <v>0</v>
      </c>
      <c r="BS54" s="229">
        <f t="shared" si="31"/>
        <v>0</v>
      </c>
      <c r="BT54" s="232">
        <f t="shared" si="34"/>
        <v>5</v>
      </c>
    </row>
    <row r="55" spans="1:72" x14ac:dyDescent="0.25">
      <c r="A55" s="194" t="s">
        <v>205</v>
      </c>
      <c r="B55" s="233"/>
      <c r="C55" s="233"/>
      <c r="D55" s="233"/>
      <c r="E55" s="233"/>
      <c r="F55" s="233"/>
      <c r="G55" s="233"/>
      <c r="H55" s="232">
        <f t="shared" si="23"/>
        <v>0</v>
      </c>
      <c r="J55" s="233"/>
      <c r="K55" s="233">
        <v>1</v>
      </c>
      <c r="L55" s="233"/>
      <c r="M55" s="233"/>
      <c r="N55" s="233"/>
      <c r="O55" s="233"/>
      <c r="P55" s="232">
        <f t="shared" si="24"/>
        <v>1</v>
      </c>
      <c r="R55" s="233"/>
      <c r="S55" s="233"/>
      <c r="T55" s="233"/>
      <c r="U55" s="233"/>
      <c r="V55" s="233"/>
      <c r="W55" s="233"/>
      <c r="X55" s="232">
        <f t="shared" si="25"/>
        <v>0</v>
      </c>
      <c r="Z55" s="233"/>
      <c r="AA55" s="233">
        <v>1</v>
      </c>
      <c r="AB55" s="233"/>
      <c r="AC55" s="233"/>
      <c r="AD55" s="233"/>
      <c r="AE55" s="233"/>
      <c r="AF55" s="232">
        <f t="shared" si="26"/>
        <v>1</v>
      </c>
      <c r="AH55" s="233"/>
      <c r="AI55" s="233"/>
      <c r="AJ55" s="233"/>
      <c r="AK55" s="233"/>
      <c r="AL55" s="233"/>
      <c r="AM55" s="233"/>
      <c r="AN55" s="232">
        <f t="shared" si="27"/>
        <v>0</v>
      </c>
      <c r="AP55" s="233"/>
      <c r="AQ55" s="233"/>
      <c r="AR55" s="233"/>
      <c r="AS55" s="233"/>
      <c r="AT55" s="233"/>
      <c r="AU55" s="233"/>
      <c r="AV55" s="232">
        <f t="shared" si="28"/>
        <v>0</v>
      </c>
      <c r="AX55" s="233"/>
      <c r="AY55" s="233"/>
      <c r="AZ55" s="233"/>
      <c r="BA55" s="233"/>
      <c r="BB55" s="233"/>
      <c r="BC55" s="233"/>
      <c r="BD55" s="232">
        <f t="shared" si="29"/>
        <v>0</v>
      </c>
      <c r="BF55" s="233"/>
      <c r="BG55" s="233"/>
      <c r="BH55" s="233"/>
      <c r="BI55" s="233"/>
      <c r="BJ55" s="233"/>
      <c r="BK55" s="233"/>
      <c r="BL55" s="232">
        <f t="shared" si="30"/>
        <v>0</v>
      </c>
      <c r="BN55" s="229">
        <f t="shared" si="33"/>
        <v>0</v>
      </c>
      <c r="BO55" s="229">
        <f t="shared" si="33"/>
        <v>2</v>
      </c>
      <c r="BP55" s="229">
        <f t="shared" si="33"/>
        <v>0</v>
      </c>
      <c r="BQ55" s="229">
        <f t="shared" si="33"/>
        <v>0</v>
      </c>
      <c r="BR55" s="229">
        <f t="shared" si="33"/>
        <v>0</v>
      </c>
      <c r="BS55" s="229">
        <f t="shared" si="33"/>
        <v>0</v>
      </c>
      <c r="BT55" s="232">
        <f t="shared" si="34"/>
        <v>2</v>
      </c>
    </row>
    <row r="56" spans="1:72" x14ac:dyDescent="0.25">
      <c r="A56" s="194" t="s">
        <v>206</v>
      </c>
      <c r="B56" s="233"/>
      <c r="C56" s="233"/>
      <c r="D56" s="233"/>
      <c r="E56" s="233"/>
      <c r="F56" s="233"/>
      <c r="G56" s="233"/>
      <c r="H56" s="232">
        <f t="shared" si="23"/>
        <v>0</v>
      </c>
      <c r="J56" s="233"/>
      <c r="K56" s="233">
        <v>1</v>
      </c>
      <c r="L56" s="233"/>
      <c r="M56" s="233"/>
      <c r="N56" s="233"/>
      <c r="O56" s="233"/>
      <c r="P56" s="232">
        <f t="shared" si="24"/>
        <v>1</v>
      </c>
      <c r="R56" s="233"/>
      <c r="S56" s="233">
        <v>0.5</v>
      </c>
      <c r="T56" s="233"/>
      <c r="U56" s="233"/>
      <c r="V56" s="233"/>
      <c r="W56" s="233"/>
      <c r="X56" s="232">
        <f t="shared" si="25"/>
        <v>0.5</v>
      </c>
      <c r="Z56" s="233"/>
      <c r="AA56" s="233">
        <v>0.5</v>
      </c>
      <c r="AB56" s="233"/>
      <c r="AC56" s="233"/>
      <c r="AD56" s="233"/>
      <c r="AE56" s="233"/>
      <c r="AF56" s="232">
        <f t="shared" si="26"/>
        <v>0.5</v>
      </c>
      <c r="AH56" s="233"/>
      <c r="AI56" s="233">
        <v>1</v>
      </c>
      <c r="AJ56" s="233"/>
      <c r="AK56" s="233"/>
      <c r="AL56" s="233"/>
      <c r="AM56" s="233"/>
      <c r="AN56" s="232">
        <f t="shared" si="27"/>
        <v>1</v>
      </c>
      <c r="AP56" s="233"/>
      <c r="AQ56" s="233"/>
      <c r="AR56" s="233"/>
      <c r="AS56" s="233"/>
      <c r="AT56" s="233"/>
      <c r="AU56" s="233"/>
      <c r="AV56" s="232">
        <f t="shared" si="28"/>
        <v>0</v>
      </c>
      <c r="AX56" s="233"/>
      <c r="AY56" s="233"/>
      <c r="AZ56" s="233"/>
      <c r="BA56" s="233"/>
      <c r="BB56" s="233"/>
      <c r="BC56" s="233"/>
      <c r="BD56" s="232">
        <f t="shared" si="29"/>
        <v>0</v>
      </c>
      <c r="BF56" s="233"/>
      <c r="BG56" s="233"/>
      <c r="BH56" s="233"/>
      <c r="BI56" s="233"/>
      <c r="BJ56" s="233"/>
      <c r="BK56" s="233"/>
      <c r="BL56" s="232">
        <f t="shared" si="30"/>
        <v>0</v>
      </c>
      <c r="BN56" s="229">
        <f t="shared" si="33"/>
        <v>0</v>
      </c>
      <c r="BO56" s="229">
        <f t="shared" si="33"/>
        <v>3</v>
      </c>
      <c r="BP56" s="229">
        <f t="shared" si="33"/>
        <v>0</v>
      </c>
      <c r="BQ56" s="229">
        <f t="shared" si="33"/>
        <v>0</v>
      </c>
      <c r="BR56" s="229">
        <f t="shared" si="33"/>
        <v>0</v>
      </c>
      <c r="BS56" s="229">
        <f t="shared" si="33"/>
        <v>0</v>
      </c>
      <c r="BT56" s="232">
        <f t="shared" si="34"/>
        <v>3</v>
      </c>
    </row>
    <row r="57" spans="1:72" x14ac:dyDescent="0.25">
      <c r="A57" s="194" t="s">
        <v>207</v>
      </c>
      <c r="B57" s="233"/>
      <c r="C57" s="233"/>
      <c r="D57" s="233"/>
      <c r="E57" s="233"/>
      <c r="F57" s="233"/>
      <c r="G57" s="233"/>
      <c r="H57" s="232">
        <f t="shared" si="23"/>
        <v>0</v>
      </c>
      <c r="J57" s="233"/>
      <c r="K57" s="233">
        <v>0</v>
      </c>
      <c r="L57" s="233"/>
      <c r="M57" s="233"/>
      <c r="N57" s="233"/>
      <c r="O57" s="233"/>
      <c r="P57" s="232">
        <f t="shared" si="24"/>
        <v>0</v>
      </c>
      <c r="R57" s="233"/>
      <c r="S57" s="233"/>
      <c r="T57" s="233"/>
      <c r="U57" s="233"/>
      <c r="V57" s="233"/>
      <c r="W57" s="233"/>
      <c r="X57" s="232">
        <f t="shared" si="25"/>
        <v>0</v>
      </c>
      <c r="Z57" s="233"/>
      <c r="AA57" s="233">
        <v>0.33</v>
      </c>
      <c r="AB57" s="233"/>
      <c r="AC57" s="233"/>
      <c r="AD57" s="233"/>
      <c r="AE57" s="233"/>
      <c r="AF57" s="232">
        <f t="shared" si="26"/>
        <v>0.33</v>
      </c>
      <c r="AH57" s="233"/>
      <c r="AI57" s="233">
        <v>0.5</v>
      </c>
      <c r="AJ57" s="233"/>
      <c r="AK57" s="233"/>
      <c r="AL57" s="233"/>
      <c r="AM57" s="233"/>
      <c r="AN57" s="232">
        <f t="shared" si="27"/>
        <v>0.5</v>
      </c>
      <c r="AP57" s="233"/>
      <c r="AQ57" s="233"/>
      <c r="AR57" s="233"/>
      <c r="AS57" s="233"/>
      <c r="AT57" s="233"/>
      <c r="AU57" s="233"/>
      <c r="AV57" s="232">
        <f t="shared" si="28"/>
        <v>0</v>
      </c>
      <c r="AX57" s="233"/>
      <c r="AY57" s="233"/>
      <c r="AZ57" s="233"/>
      <c r="BA57" s="233"/>
      <c r="BB57" s="233"/>
      <c r="BC57" s="233"/>
      <c r="BD57" s="232">
        <f t="shared" si="29"/>
        <v>0</v>
      </c>
      <c r="BF57" s="233"/>
      <c r="BG57" s="233"/>
      <c r="BH57" s="233"/>
      <c r="BI57" s="233"/>
      <c r="BJ57" s="233"/>
      <c r="BK57" s="233"/>
      <c r="BL57" s="232">
        <f t="shared" si="30"/>
        <v>0</v>
      </c>
      <c r="BN57" s="229">
        <f t="shared" si="33"/>
        <v>0</v>
      </c>
      <c r="BO57" s="229">
        <f t="shared" si="33"/>
        <v>0.83000000000000007</v>
      </c>
      <c r="BP57" s="229">
        <f t="shared" si="33"/>
        <v>0</v>
      </c>
      <c r="BQ57" s="229">
        <f t="shared" si="33"/>
        <v>0</v>
      </c>
      <c r="BR57" s="229">
        <f t="shared" si="33"/>
        <v>0</v>
      </c>
      <c r="BS57" s="229">
        <f t="shared" si="33"/>
        <v>0</v>
      </c>
      <c r="BT57" s="232">
        <f t="shared" si="34"/>
        <v>0.83000000000000007</v>
      </c>
    </row>
    <row r="58" spans="1:72" x14ac:dyDescent="0.25">
      <c r="A58" s="194" t="s">
        <v>208</v>
      </c>
      <c r="B58" s="233"/>
      <c r="C58" s="233"/>
      <c r="D58" s="233"/>
      <c r="E58" s="233"/>
      <c r="F58" s="233"/>
      <c r="G58" s="233"/>
      <c r="H58" s="232">
        <f t="shared" si="23"/>
        <v>0</v>
      </c>
      <c r="J58" s="233">
        <v>1</v>
      </c>
      <c r="K58" s="233"/>
      <c r="L58" s="233"/>
      <c r="M58" s="233"/>
      <c r="N58" s="233"/>
      <c r="O58" s="233"/>
      <c r="P58" s="232">
        <f t="shared" si="24"/>
        <v>1</v>
      </c>
      <c r="R58" s="233">
        <v>0.5</v>
      </c>
      <c r="S58" s="233"/>
      <c r="T58" s="233"/>
      <c r="U58" s="233"/>
      <c r="V58" s="233"/>
      <c r="W58" s="233"/>
      <c r="X58" s="232">
        <f t="shared" si="25"/>
        <v>0.5</v>
      </c>
      <c r="Z58" s="233">
        <v>0.5</v>
      </c>
      <c r="AA58" s="233"/>
      <c r="AB58" s="233"/>
      <c r="AC58" s="233"/>
      <c r="AD58" s="233"/>
      <c r="AE58" s="233"/>
      <c r="AF58" s="232">
        <f t="shared" si="26"/>
        <v>0.5</v>
      </c>
      <c r="AH58" s="233">
        <v>1</v>
      </c>
      <c r="AI58" s="233"/>
      <c r="AJ58" s="233"/>
      <c r="AK58" s="233"/>
      <c r="AL58" s="233"/>
      <c r="AM58" s="233"/>
      <c r="AN58" s="232">
        <f t="shared" si="27"/>
        <v>1</v>
      </c>
      <c r="AP58" s="233"/>
      <c r="AQ58" s="233"/>
      <c r="AR58" s="233"/>
      <c r="AS58" s="233"/>
      <c r="AT58" s="233"/>
      <c r="AU58" s="233"/>
      <c r="AV58" s="232">
        <f t="shared" si="28"/>
        <v>0</v>
      </c>
      <c r="AX58" s="233"/>
      <c r="AY58" s="233"/>
      <c r="AZ58" s="233"/>
      <c r="BA58" s="233"/>
      <c r="BB58" s="233"/>
      <c r="BC58" s="233"/>
      <c r="BD58" s="232">
        <f t="shared" si="29"/>
        <v>0</v>
      </c>
      <c r="BF58" s="233"/>
      <c r="BG58" s="233"/>
      <c r="BH58" s="233"/>
      <c r="BI58" s="233"/>
      <c r="BJ58" s="233"/>
      <c r="BK58" s="233"/>
      <c r="BL58" s="232">
        <f t="shared" si="30"/>
        <v>0</v>
      </c>
      <c r="BN58" s="229">
        <f t="shared" si="33"/>
        <v>3</v>
      </c>
      <c r="BO58" s="229">
        <f t="shared" si="33"/>
        <v>0</v>
      </c>
      <c r="BP58" s="229">
        <f t="shared" si="33"/>
        <v>0</v>
      </c>
      <c r="BQ58" s="229">
        <f t="shared" si="33"/>
        <v>0</v>
      </c>
      <c r="BR58" s="229">
        <f t="shared" si="33"/>
        <v>0</v>
      </c>
      <c r="BS58" s="229">
        <f t="shared" si="33"/>
        <v>0</v>
      </c>
      <c r="BT58" s="232">
        <f t="shared" si="34"/>
        <v>3</v>
      </c>
    </row>
    <row r="59" spans="1:72" x14ac:dyDescent="0.25">
      <c r="A59" s="194" t="s">
        <v>209</v>
      </c>
      <c r="B59" s="233">
        <v>1</v>
      </c>
      <c r="C59" s="233"/>
      <c r="D59" s="233"/>
      <c r="E59" s="233"/>
      <c r="F59" s="233"/>
      <c r="G59" s="233"/>
      <c r="H59" s="232">
        <f t="shared" si="23"/>
        <v>1</v>
      </c>
      <c r="J59" s="233">
        <v>3</v>
      </c>
      <c r="K59" s="233"/>
      <c r="L59" s="233"/>
      <c r="M59" s="233"/>
      <c r="N59" s="233"/>
      <c r="O59" s="233"/>
      <c r="P59" s="232">
        <f t="shared" si="24"/>
        <v>3</v>
      </c>
      <c r="R59" s="233">
        <v>1</v>
      </c>
      <c r="S59" s="233"/>
      <c r="T59" s="233"/>
      <c r="U59" s="233"/>
      <c r="V59" s="233"/>
      <c r="W59" s="233"/>
      <c r="X59" s="232">
        <f t="shared" si="25"/>
        <v>1</v>
      </c>
      <c r="Z59" s="233">
        <v>2</v>
      </c>
      <c r="AA59" s="233"/>
      <c r="AB59" s="233"/>
      <c r="AC59" s="233"/>
      <c r="AD59" s="233"/>
      <c r="AE59" s="233"/>
      <c r="AF59" s="232">
        <f t="shared" si="26"/>
        <v>2</v>
      </c>
      <c r="AH59" s="233">
        <v>4</v>
      </c>
      <c r="AI59" s="233"/>
      <c r="AJ59" s="233"/>
      <c r="AK59" s="233"/>
      <c r="AL59" s="233"/>
      <c r="AM59" s="233"/>
      <c r="AN59" s="232">
        <f t="shared" si="27"/>
        <v>4</v>
      </c>
      <c r="AP59" s="233">
        <v>0</v>
      </c>
      <c r="AQ59" s="233"/>
      <c r="AR59" s="233"/>
      <c r="AS59" s="233"/>
      <c r="AT59" s="233"/>
      <c r="AU59" s="233"/>
      <c r="AV59" s="232">
        <f t="shared" si="28"/>
        <v>0</v>
      </c>
      <c r="AX59" s="233">
        <v>0</v>
      </c>
      <c r="AY59" s="233"/>
      <c r="AZ59" s="233"/>
      <c r="BA59" s="233"/>
      <c r="BB59" s="233"/>
      <c r="BC59" s="233"/>
      <c r="BD59" s="232">
        <f t="shared" si="29"/>
        <v>0</v>
      </c>
      <c r="BF59" s="233"/>
      <c r="BG59" s="233"/>
      <c r="BH59" s="233"/>
      <c r="BI59" s="233"/>
      <c r="BJ59" s="233"/>
      <c r="BK59" s="233"/>
      <c r="BL59" s="232">
        <f t="shared" si="30"/>
        <v>0</v>
      </c>
      <c r="BN59" s="229">
        <f t="shared" si="33"/>
        <v>11</v>
      </c>
      <c r="BO59" s="229">
        <f t="shared" si="33"/>
        <v>0</v>
      </c>
      <c r="BP59" s="229">
        <f t="shared" si="33"/>
        <v>0</v>
      </c>
      <c r="BQ59" s="229">
        <f t="shared" si="33"/>
        <v>0</v>
      </c>
      <c r="BR59" s="229">
        <f t="shared" si="33"/>
        <v>0</v>
      </c>
      <c r="BS59" s="229">
        <f t="shared" si="33"/>
        <v>0</v>
      </c>
      <c r="BT59" s="232">
        <f t="shared" si="34"/>
        <v>11</v>
      </c>
    </row>
    <row r="60" spans="1:72" x14ac:dyDescent="0.25">
      <c r="A60" s="191" t="s">
        <v>210</v>
      </c>
      <c r="B60" s="232"/>
      <c r="C60" s="232"/>
      <c r="D60" s="232"/>
      <c r="E60" s="232"/>
      <c r="F60" s="232"/>
      <c r="G60" s="232"/>
      <c r="H60" s="232">
        <f t="shared" si="23"/>
        <v>0</v>
      </c>
      <c r="J60" s="232">
        <v>1</v>
      </c>
      <c r="K60" s="232"/>
      <c r="L60" s="232"/>
      <c r="M60" s="232"/>
      <c r="N60" s="232"/>
      <c r="O60" s="232"/>
      <c r="P60" s="232">
        <f t="shared" si="24"/>
        <v>1</v>
      </c>
      <c r="R60" s="232"/>
      <c r="S60" s="232"/>
      <c r="T60" s="232"/>
      <c r="U60" s="232"/>
      <c r="V60" s="232"/>
      <c r="W60" s="232"/>
      <c r="X60" s="232">
        <f t="shared" si="25"/>
        <v>0</v>
      </c>
      <c r="Z60" s="232">
        <v>1</v>
      </c>
      <c r="AA60" s="232"/>
      <c r="AB60" s="232"/>
      <c r="AC60" s="232"/>
      <c r="AD60" s="232"/>
      <c r="AE60" s="232"/>
      <c r="AF60" s="232">
        <f t="shared" si="26"/>
        <v>1</v>
      </c>
      <c r="AH60" s="307">
        <v>1</v>
      </c>
      <c r="AI60" s="232"/>
      <c r="AJ60" s="232"/>
      <c r="AK60" s="232"/>
      <c r="AL60" s="232"/>
      <c r="AM60" s="232"/>
      <c r="AN60" s="232">
        <f t="shared" si="27"/>
        <v>1</v>
      </c>
      <c r="AP60" s="232">
        <v>0</v>
      </c>
      <c r="AQ60" s="232"/>
      <c r="AR60" s="232"/>
      <c r="AS60" s="232"/>
      <c r="AT60" s="232"/>
      <c r="AU60" s="232"/>
      <c r="AV60" s="232">
        <f t="shared" si="28"/>
        <v>0</v>
      </c>
      <c r="AX60" s="232">
        <v>0</v>
      </c>
      <c r="AY60" s="232"/>
      <c r="AZ60" s="232"/>
      <c r="BA60" s="232"/>
      <c r="BB60" s="232"/>
      <c r="BC60" s="232"/>
      <c r="BD60" s="232">
        <f t="shared" si="29"/>
        <v>0</v>
      </c>
      <c r="BF60" s="232"/>
      <c r="BG60" s="232"/>
      <c r="BH60" s="232"/>
      <c r="BI60" s="232"/>
      <c r="BJ60" s="232"/>
      <c r="BK60" s="232"/>
      <c r="BL60" s="232">
        <f t="shared" si="30"/>
        <v>0</v>
      </c>
      <c r="BN60" s="229">
        <f t="shared" si="33"/>
        <v>3</v>
      </c>
      <c r="BO60" s="229">
        <f t="shared" si="33"/>
        <v>0</v>
      </c>
      <c r="BP60" s="229">
        <f t="shared" si="33"/>
        <v>0</v>
      </c>
      <c r="BQ60" s="229">
        <f t="shared" si="33"/>
        <v>0</v>
      </c>
      <c r="BR60" s="229">
        <f t="shared" si="33"/>
        <v>0</v>
      </c>
      <c r="BS60" s="229">
        <f t="shared" si="33"/>
        <v>0</v>
      </c>
      <c r="BT60" s="232">
        <f t="shared" si="34"/>
        <v>3</v>
      </c>
    </row>
    <row r="61" spans="1:72" x14ac:dyDescent="0.25">
      <c r="A61" s="189" t="s">
        <v>211</v>
      </c>
      <c r="B61" s="234">
        <f t="shared" ref="B61:H61" si="35">SUM(B39:B60)</f>
        <v>18</v>
      </c>
      <c r="C61" s="234">
        <f t="shared" si="35"/>
        <v>5</v>
      </c>
      <c r="D61" s="234">
        <f t="shared" si="35"/>
        <v>2</v>
      </c>
      <c r="E61" s="234">
        <f t="shared" si="35"/>
        <v>0</v>
      </c>
      <c r="F61" s="234">
        <f t="shared" si="35"/>
        <v>1</v>
      </c>
      <c r="G61" s="234">
        <f t="shared" si="35"/>
        <v>0</v>
      </c>
      <c r="H61" s="234">
        <f t="shared" si="35"/>
        <v>26</v>
      </c>
      <c r="J61" s="234">
        <f t="shared" ref="J61:P61" si="36">SUM(J39:J60)</f>
        <v>56</v>
      </c>
      <c r="K61" s="234">
        <f t="shared" si="36"/>
        <v>15</v>
      </c>
      <c r="L61" s="234">
        <f t="shared" si="36"/>
        <v>6</v>
      </c>
      <c r="M61" s="234">
        <f t="shared" si="36"/>
        <v>0</v>
      </c>
      <c r="N61" s="234">
        <f t="shared" si="36"/>
        <v>0</v>
      </c>
      <c r="O61" s="234">
        <f t="shared" si="36"/>
        <v>0</v>
      </c>
      <c r="P61" s="234">
        <f t="shared" si="36"/>
        <v>77</v>
      </c>
      <c r="R61" s="234">
        <f t="shared" ref="R61:X61" si="37">SUM(R39:R60)</f>
        <v>23.5</v>
      </c>
      <c r="S61" s="234">
        <f t="shared" si="37"/>
        <v>5.5</v>
      </c>
      <c r="T61" s="234">
        <f t="shared" si="37"/>
        <v>2</v>
      </c>
      <c r="U61" s="234">
        <f t="shared" si="37"/>
        <v>0</v>
      </c>
      <c r="V61" s="234">
        <f t="shared" si="37"/>
        <v>0</v>
      </c>
      <c r="W61" s="234">
        <f t="shared" si="37"/>
        <v>0</v>
      </c>
      <c r="X61" s="234">
        <f t="shared" si="37"/>
        <v>31</v>
      </c>
      <c r="Z61" s="234">
        <f t="shared" ref="Z61:AF61" si="38">SUM(Z39:Z60)</f>
        <v>21.5</v>
      </c>
      <c r="AA61" s="234">
        <f t="shared" si="38"/>
        <v>7.83</v>
      </c>
      <c r="AB61" s="234">
        <f t="shared" si="38"/>
        <v>2</v>
      </c>
      <c r="AC61" s="234">
        <f t="shared" si="38"/>
        <v>0</v>
      </c>
      <c r="AD61" s="234">
        <f t="shared" si="38"/>
        <v>0</v>
      </c>
      <c r="AE61" s="234">
        <f t="shared" si="38"/>
        <v>0</v>
      </c>
      <c r="AF61" s="234">
        <f t="shared" si="38"/>
        <v>31.33</v>
      </c>
      <c r="AH61" s="234">
        <f t="shared" ref="AH61:AN61" si="39">SUM(AH39:AH60)</f>
        <v>44</v>
      </c>
      <c r="AI61" s="234">
        <f t="shared" si="39"/>
        <v>13.5</v>
      </c>
      <c r="AJ61" s="234">
        <f t="shared" si="39"/>
        <v>4</v>
      </c>
      <c r="AK61" s="234">
        <f t="shared" si="39"/>
        <v>0</v>
      </c>
      <c r="AL61" s="234">
        <f t="shared" si="39"/>
        <v>0</v>
      </c>
      <c r="AM61" s="234">
        <f t="shared" si="39"/>
        <v>0</v>
      </c>
      <c r="AN61" s="234">
        <f t="shared" si="39"/>
        <v>61.5</v>
      </c>
      <c r="AP61" s="234">
        <f t="shared" ref="AP61:AV61" si="40">SUM(AP39:AP60)</f>
        <v>8</v>
      </c>
      <c r="AQ61" s="234">
        <f t="shared" si="40"/>
        <v>4</v>
      </c>
      <c r="AR61" s="234">
        <f t="shared" si="40"/>
        <v>1</v>
      </c>
      <c r="AS61" s="234">
        <f t="shared" si="40"/>
        <v>0</v>
      </c>
      <c r="AT61" s="234">
        <f t="shared" si="40"/>
        <v>3</v>
      </c>
      <c r="AU61" s="234">
        <f t="shared" si="40"/>
        <v>0</v>
      </c>
      <c r="AV61" s="234">
        <f t="shared" si="40"/>
        <v>16</v>
      </c>
      <c r="AX61" s="234">
        <f t="shared" ref="AX61:BD61" si="41">SUM(AX39:AX60)</f>
        <v>4</v>
      </c>
      <c r="AY61" s="234">
        <f t="shared" si="41"/>
        <v>1</v>
      </c>
      <c r="AZ61" s="234">
        <f t="shared" si="41"/>
        <v>0</v>
      </c>
      <c r="BA61" s="234">
        <f t="shared" si="41"/>
        <v>0</v>
      </c>
      <c r="BB61" s="234">
        <f t="shared" si="41"/>
        <v>1</v>
      </c>
      <c r="BC61" s="234">
        <f t="shared" si="41"/>
        <v>0</v>
      </c>
      <c r="BD61" s="234">
        <f t="shared" si="41"/>
        <v>6</v>
      </c>
      <c r="BF61" s="234">
        <f t="shared" ref="BF61:BL61" si="42">SUM(BF39:BF60)</f>
        <v>3</v>
      </c>
      <c r="BG61" s="234">
        <f t="shared" si="42"/>
        <v>0</v>
      </c>
      <c r="BH61" s="234">
        <f t="shared" si="42"/>
        <v>1</v>
      </c>
      <c r="BI61" s="234">
        <f t="shared" si="42"/>
        <v>0</v>
      </c>
      <c r="BJ61" s="234">
        <f t="shared" si="42"/>
        <v>1</v>
      </c>
      <c r="BK61" s="234">
        <f t="shared" si="42"/>
        <v>0</v>
      </c>
      <c r="BL61" s="234">
        <f t="shared" si="42"/>
        <v>5</v>
      </c>
      <c r="BN61" s="234">
        <f t="shared" ref="BN61:BT61" si="43">SUM(BN39:BN60)</f>
        <v>178</v>
      </c>
      <c r="BO61" s="234">
        <f t="shared" si="43"/>
        <v>51.83</v>
      </c>
      <c r="BP61" s="234">
        <f t="shared" si="43"/>
        <v>18</v>
      </c>
      <c r="BQ61" s="234">
        <f t="shared" si="43"/>
        <v>0</v>
      </c>
      <c r="BR61" s="234">
        <f t="shared" si="43"/>
        <v>6</v>
      </c>
      <c r="BS61" s="234">
        <f t="shared" si="43"/>
        <v>0</v>
      </c>
      <c r="BT61" s="234">
        <f t="shared" si="43"/>
        <v>253.83</v>
      </c>
    </row>
    <row r="62" spans="1:72" ht="16.5" thickBot="1" x14ac:dyDescent="0.3">
      <c r="A62" s="195"/>
      <c r="B62" s="235"/>
      <c r="C62" s="235"/>
      <c r="D62" s="235"/>
      <c r="E62" s="235"/>
      <c r="F62" s="235"/>
      <c r="G62" s="235"/>
      <c r="H62" s="235"/>
      <c r="J62" s="235"/>
      <c r="K62" s="235"/>
      <c r="L62" s="235"/>
      <c r="M62" s="235"/>
      <c r="N62" s="235"/>
      <c r="O62" s="235"/>
      <c r="P62" s="235"/>
      <c r="R62" s="235"/>
      <c r="S62" s="235"/>
      <c r="T62" s="235"/>
      <c r="U62" s="235"/>
      <c r="V62" s="235"/>
      <c r="W62" s="235"/>
      <c r="X62" s="235"/>
      <c r="Z62" s="235"/>
      <c r="AA62" s="235"/>
      <c r="AB62" s="235"/>
      <c r="AC62" s="235"/>
      <c r="AD62" s="235"/>
      <c r="AE62" s="235"/>
      <c r="AF62" s="235"/>
      <c r="AH62" s="235"/>
      <c r="AI62" s="235"/>
      <c r="AJ62" s="235"/>
      <c r="AK62" s="235"/>
      <c r="AL62" s="235"/>
      <c r="AM62" s="235"/>
      <c r="AN62" s="235"/>
      <c r="AP62" s="235"/>
      <c r="AQ62" s="235"/>
      <c r="AR62" s="235"/>
      <c r="AS62" s="235"/>
      <c r="AT62" s="235"/>
      <c r="AU62" s="235"/>
      <c r="AV62" s="235"/>
      <c r="AX62" s="235"/>
      <c r="AY62" s="235"/>
      <c r="AZ62" s="235"/>
      <c r="BA62" s="235"/>
      <c r="BB62" s="235"/>
      <c r="BC62" s="235"/>
      <c r="BD62" s="235"/>
      <c r="BF62" s="235"/>
      <c r="BG62" s="235"/>
      <c r="BH62" s="235"/>
      <c r="BI62" s="235"/>
      <c r="BJ62" s="235"/>
      <c r="BK62" s="235"/>
      <c r="BL62" s="235"/>
      <c r="BN62" s="235"/>
      <c r="BO62" s="235"/>
      <c r="BP62" s="235"/>
      <c r="BQ62" s="235"/>
      <c r="BR62" s="235"/>
      <c r="BS62" s="235"/>
      <c r="BT62" s="235"/>
    </row>
    <row r="63" spans="1:72" x14ac:dyDescent="0.25">
      <c r="A63" s="196" t="s">
        <v>212</v>
      </c>
      <c r="B63" s="236">
        <f>B36+B41+B43+B50</f>
        <v>47</v>
      </c>
      <c r="C63" s="236">
        <f>C36+C41+C43+C50</f>
        <v>9</v>
      </c>
      <c r="D63" s="236">
        <f t="shared" ref="D63:G63" si="44">D36+D41+D43+D50</f>
        <v>0</v>
      </c>
      <c r="E63" s="236">
        <f t="shared" si="44"/>
        <v>0</v>
      </c>
      <c r="F63" s="236">
        <f t="shared" si="44"/>
        <v>1</v>
      </c>
      <c r="G63" s="236">
        <f t="shared" si="44"/>
        <v>0</v>
      </c>
      <c r="H63" s="236">
        <f t="shared" ref="H63" si="45">H36</f>
        <v>47</v>
      </c>
      <c r="J63" s="236">
        <f>J36+J41+J43+J50</f>
        <v>115</v>
      </c>
      <c r="K63" s="236">
        <f>K36+K41+K43+K50</f>
        <v>25</v>
      </c>
      <c r="L63" s="236">
        <f t="shared" ref="L63:O63" si="46">L36+L41+L43+L50</f>
        <v>0</v>
      </c>
      <c r="M63" s="236">
        <f t="shared" si="46"/>
        <v>0</v>
      </c>
      <c r="N63" s="236">
        <f t="shared" si="46"/>
        <v>0</v>
      </c>
      <c r="O63" s="236">
        <f t="shared" si="46"/>
        <v>0</v>
      </c>
      <c r="P63" s="236">
        <f t="shared" ref="P63" si="47">P36</f>
        <v>114</v>
      </c>
      <c r="R63" s="236">
        <f>R36+R41+R43+R50</f>
        <v>52</v>
      </c>
      <c r="S63" s="236">
        <f>S36+S41+S43+S50</f>
        <v>8</v>
      </c>
      <c r="T63" s="236">
        <f t="shared" ref="T63:W63" si="48">T36+T41+T43+T50</f>
        <v>0</v>
      </c>
      <c r="U63" s="236">
        <f t="shared" si="48"/>
        <v>0</v>
      </c>
      <c r="V63" s="236">
        <f t="shared" si="48"/>
        <v>0</v>
      </c>
      <c r="W63" s="236">
        <f t="shared" si="48"/>
        <v>0</v>
      </c>
      <c r="X63" s="236">
        <f t="shared" ref="X63" si="49">X36</f>
        <v>48</v>
      </c>
      <c r="Z63" s="236">
        <f>Z36+Z41+Z43+Z50</f>
        <v>64</v>
      </c>
      <c r="AA63" s="236">
        <f>AA36+AA41+AA43+AA50</f>
        <v>10</v>
      </c>
      <c r="AB63" s="236">
        <f t="shared" ref="AB63:AE63" si="50">AB36+AB41+AB43+AB50</f>
        <v>0</v>
      </c>
      <c r="AC63" s="236">
        <f t="shared" si="50"/>
        <v>0</v>
      </c>
      <c r="AD63" s="236">
        <f t="shared" si="50"/>
        <v>0</v>
      </c>
      <c r="AE63" s="236">
        <f t="shared" si="50"/>
        <v>0</v>
      </c>
      <c r="AF63" s="236">
        <f t="shared" ref="AF63" si="51">AF36</f>
        <v>61</v>
      </c>
      <c r="AH63" s="236">
        <f>AH36+AH41+AH43+AH50</f>
        <v>109</v>
      </c>
      <c r="AI63" s="236">
        <f>AI36+AI41+AI43+AI50</f>
        <v>25</v>
      </c>
      <c r="AJ63" s="236">
        <f t="shared" ref="AJ63:AM63" si="52">AJ36+AJ41+AJ43+AJ50</f>
        <v>0</v>
      </c>
      <c r="AK63" s="236">
        <f t="shared" si="52"/>
        <v>0</v>
      </c>
      <c r="AL63" s="236">
        <f t="shared" si="52"/>
        <v>0</v>
      </c>
      <c r="AM63" s="236">
        <f t="shared" si="52"/>
        <v>0</v>
      </c>
      <c r="AN63" s="236">
        <f t="shared" ref="AN63" si="53">AN36</f>
        <v>115</v>
      </c>
      <c r="AP63" s="236">
        <f>AP36+AP41+AP43+AP50</f>
        <v>31</v>
      </c>
      <c r="AQ63" s="236">
        <f>AQ36+AQ41+AQ43+AQ50</f>
        <v>6</v>
      </c>
      <c r="AR63" s="236">
        <f t="shared" ref="AR63:AU63" si="54">AR36+AR41+AR43+AR50</f>
        <v>0</v>
      </c>
      <c r="AS63" s="236">
        <f t="shared" si="54"/>
        <v>0</v>
      </c>
      <c r="AT63" s="236">
        <f t="shared" si="54"/>
        <v>3</v>
      </c>
      <c r="AU63" s="236">
        <f t="shared" si="54"/>
        <v>0</v>
      </c>
      <c r="AV63" s="236">
        <f t="shared" ref="AV63" si="55">AV36</f>
        <v>33</v>
      </c>
      <c r="AX63" s="236">
        <f>AX36+AX41+AX43+AX50</f>
        <v>4</v>
      </c>
      <c r="AY63" s="236">
        <f>AY36+AY41+AY43+AY50</f>
        <v>2</v>
      </c>
      <c r="AZ63" s="236">
        <f t="shared" ref="AZ63:BC63" si="56">AZ36+AZ41+AZ43+AZ50</f>
        <v>0</v>
      </c>
      <c r="BA63" s="236">
        <f t="shared" si="56"/>
        <v>0</v>
      </c>
      <c r="BB63" s="236">
        <f t="shared" si="56"/>
        <v>1</v>
      </c>
      <c r="BC63" s="236">
        <f t="shared" si="56"/>
        <v>0</v>
      </c>
      <c r="BD63" s="236">
        <f t="shared" ref="BD63" si="57">BD36</f>
        <v>1</v>
      </c>
      <c r="BF63" s="236">
        <f>BF36+BF41+BF43+BF50</f>
        <v>1</v>
      </c>
      <c r="BG63" s="236">
        <f>BG36+BG41+BG43+BG50</f>
        <v>0</v>
      </c>
      <c r="BH63" s="236">
        <f t="shared" ref="BH63:BK63" si="58">BH36+BH41+BH43+BH50</f>
        <v>0</v>
      </c>
      <c r="BI63" s="236">
        <f t="shared" si="58"/>
        <v>0</v>
      </c>
      <c r="BJ63" s="236">
        <f t="shared" si="58"/>
        <v>1</v>
      </c>
      <c r="BK63" s="236">
        <f t="shared" si="58"/>
        <v>0</v>
      </c>
      <c r="BL63" s="236">
        <f t="shared" ref="BL63" si="59">BL36</f>
        <v>1</v>
      </c>
      <c r="BN63" s="236">
        <f>BN36+BN41+BN43+BN50</f>
        <v>423</v>
      </c>
      <c r="BO63" s="236">
        <f>BO36+BO41+BO43+BO50</f>
        <v>85</v>
      </c>
      <c r="BP63" s="236">
        <f t="shared" ref="BP63:BS63" si="60">BP36+BP41+BP43+BP50</f>
        <v>0</v>
      </c>
      <c r="BQ63" s="236">
        <f t="shared" si="60"/>
        <v>0</v>
      </c>
      <c r="BR63" s="236">
        <f t="shared" si="60"/>
        <v>6</v>
      </c>
      <c r="BS63" s="236">
        <f t="shared" si="60"/>
        <v>0</v>
      </c>
      <c r="BT63" s="236">
        <f t="shared" ref="BT63" si="61">BT36</f>
        <v>420</v>
      </c>
    </row>
    <row r="64" spans="1:72" x14ac:dyDescent="0.25">
      <c r="A64" s="197" t="s">
        <v>213</v>
      </c>
      <c r="B64" s="237">
        <f>B61-B41-B43-B50</f>
        <v>13</v>
      </c>
      <c r="C64" s="237">
        <f t="shared" ref="C64:G64" si="62">C61-C41-C43-C50</f>
        <v>1</v>
      </c>
      <c r="D64" s="237">
        <f t="shared" si="62"/>
        <v>2</v>
      </c>
      <c r="E64" s="237">
        <f t="shared" si="62"/>
        <v>0</v>
      </c>
      <c r="F64" s="237">
        <f t="shared" si="62"/>
        <v>0</v>
      </c>
      <c r="G64" s="237">
        <f t="shared" si="62"/>
        <v>0</v>
      </c>
      <c r="H64" s="237">
        <f t="shared" ref="H64" si="63">H61</f>
        <v>26</v>
      </c>
      <c r="J64" s="237">
        <f>J61-J41-J43-J50</f>
        <v>42</v>
      </c>
      <c r="K64" s="237">
        <f t="shared" ref="K64:O64" si="64">K61-K41-K43-K50</f>
        <v>3</v>
      </c>
      <c r="L64" s="237">
        <f t="shared" si="64"/>
        <v>6</v>
      </c>
      <c r="M64" s="237">
        <f t="shared" si="64"/>
        <v>0</v>
      </c>
      <c r="N64" s="237">
        <f t="shared" si="64"/>
        <v>0</v>
      </c>
      <c r="O64" s="237">
        <f t="shared" si="64"/>
        <v>0</v>
      </c>
      <c r="P64" s="237">
        <f t="shared" ref="P64" si="65">P61</f>
        <v>77</v>
      </c>
      <c r="R64" s="237">
        <f>R61-R41-R43-R50</f>
        <v>15.5</v>
      </c>
      <c r="S64" s="237">
        <f t="shared" ref="S64:W64" si="66">S61-S41-S43-S50</f>
        <v>1.5</v>
      </c>
      <c r="T64" s="237">
        <f t="shared" si="66"/>
        <v>2</v>
      </c>
      <c r="U64" s="237">
        <f t="shared" si="66"/>
        <v>0</v>
      </c>
      <c r="V64" s="237">
        <f t="shared" si="66"/>
        <v>0</v>
      </c>
      <c r="W64" s="237">
        <f t="shared" si="66"/>
        <v>0</v>
      </c>
      <c r="X64" s="237">
        <f t="shared" ref="X64" si="67">X61</f>
        <v>31</v>
      </c>
      <c r="Z64" s="237">
        <f>Z61-Z41-Z43-Z50</f>
        <v>13.5</v>
      </c>
      <c r="AA64" s="237">
        <f t="shared" ref="AA64:AE64" si="68">AA61-AA41-AA43-AA50</f>
        <v>2.83</v>
      </c>
      <c r="AB64" s="237">
        <f t="shared" si="68"/>
        <v>2</v>
      </c>
      <c r="AC64" s="237">
        <f t="shared" si="68"/>
        <v>0</v>
      </c>
      <c r="AD64" s="237">
        <f t="shared" si="68"/>
        <v>0</v>
      </c>
      <c r="AE64" s="237">
        <f t="shared" si="68"/>
        <v>0</v>
      </c>
      <c r="AF64" s="237">
        <f t="shared" ref="AF64" si="69">AF61</f>
        <v>31.33</v>
      </c>
      <c r="AH64" s="237">
        <f>AH61-AH41-AH43-AH50</f>
        <v>37</v>
      </c>
      <c r="AI64" s="237">
        <f t="shared" ref="AI64:AM64" si="70">AI61-AI41-AI43-AI50</f>
        <v>1.5</v>
      </c>
      <c r="AJ64" s="237">
        <f t="shared" si="70"/>
        <v>4</v>
      </c>
      <c r="AK64" s="237">
        <f t="shared" si="70"/>
        <v>0</v>
      </c>
      <c r="AL64" s="237">
        <f t="shared" si="70"/>
        <v>0</v>
      </c>
      <c r="AM64" s="237">
        <f t="shared" si="70"/>
        <v>0</v>
      </c>
      <c r="AN64" s="237">
        <f t="shared" ref="AN64" si="71">AN61</f>
        <v>61.5</v>
      </c>
      <c r="AP64" s="237">
        <f>AP61-AP41-AP43-AP50</f>
        <v>7</v>
      </c>
      <c r="AQ64" s="237">
        <f t="shared" ref="AQ64:AU64" si="72">AQ61-AQ41-AQ43-AQ50</f>
        <v>1</v>
      </c>
      <c r="AR64" s="237">
        <f t="shared" si="72"/>
        <v>1</v>
      </c>
      <c r="AS64" s="237">
        <f t="shared" si="72"/>
        <v>0</v>
      </c>
      <c r="AT64" s="237">
        <f t="shared" si="72"/>
        <v>0</v>
      </c>
      <c r="AU64" s="237">
        <f t="shared" si="72"/>
        <v>0</v>
      </c>
      <c r="AV64" s="237">
        <f t="shared" ref="AV64" si="73">AV61</f>
        <v>16</v>
      </c>
      <c r="AX64" s="237">
        <f>AX61-AX41-AX43-AX50</f>
        <v>0</v>
      </c>
      <c r="AY64" s="237">
        <f t="shared" ref="AY64:BC64" si="74">AY61-AY41-AY43-AY50</f>
        <v>0</v>
      </c>
      <c r="AZ64" s="237">
        <f t="shared" si="74"/>
        <v>0</v>
      </c>
      <c r="BA64" s="237">
        <f t="shared" si="74"/>
        <v>0</v>
      </c>
      <c r="BB64" s="237">
        <f t="shared" si="74"/>
        <v>0</v>
      </c>
      <c r="BC64" s="237">
        <f t="shared" si="74"/>
        <v>0</v>
      </c>
      <c r="BD64" s="237">
        <f t="shared" ref="BD64" si="75">BD61</f>
        <v>6</v>
      </c>
      <c r="BF64" s="237">
        <f>BF61-BF41-BF43-BF50</f>
        <v>3</v>
      </c>
      <c r="BG64" s="237">
        <f t="shared" ref="BG64:BK64" si="76">BG61-BG41-BG43-BG50</f>
        <v>0</v>
      </c>
      <c r="BH64" s="237">
        <f t="shared" si="76"/>
        <v>1</v>
      </c>
      <c r="BI64" s="237">
        <f t="shared" si="76"/>
        <v>0</v>
      </c>
      <c r="BJ64" s="237">
        <f t="shared" si="76"/>
        <v>0</v>
      </c>
      <c r="BK64" s="237">
        <f t="shared" si="76"/>
        <v>0</v>
      </c>
      <c r="BL64" s="237">
        <f t="shared" ref="BL64" si="77">BL61</f>
        <v>5</v>
      </c>
      <c r="BN64" s="237">
        <f>BN61-BN41-BN43-BN50</f>
        <v>131</v>
      </c>
      <c r="BO64" s="237">
        <f t="shared" ref="BO64:BS64" si="78">BO61-BO41-BO43-BO50</f>
        <v>10.829999999999998</v>
      </c>
      <c r="BP64" s="237">
        <f t="shared" si="78"/>
        <v>18</v>
      </c>
      <c r="BQ64" s="237">
        <f t="shared" si="78"/>
        <v>0</v>
      </c>
      <c r="BR64" s="237">
        <f t="shared" si="78"/>
        <v>0</v>
      </c>
      <c r="BS64" s="237">
        <f t="shared" si="78"/>
        <v>0</v>
      </c>
      <c r="BT64" s="237">
        <f t="shared" ref="BT64" si="79">BT61</f>
        <v>253.83</v>
      </c>
    </row>
    <row r="65" spans="1:72" ht="16.5" thickBot="1" x14ac:dyDescent="0.3">
      <c r="A65" s="198" t="s">
        <v>214</v>
      </c>
      <c r="B65" s="238">
        <f>SUM(B63:B64)</f>
        <v>60</v>
      </c>
      <c r="C65" s="238">
        <f t="shared" ref="C65:G65" si="80">SUM(C63:C64)</f>
        <v>10</v>
      </c>
      <c r="D65" s="238">
        <f t="shared" si="80"/>
        <v>2</v>
      </c>
      <c r="E65" s="238">
        <f t="shared" si="80"/>
        <v>0</v>
      </c>
      <c r="F65" s="238">
        <f t="shared" si="80"/>
        <v>1</v>
      </c>
      <c r="G65" s="238">
        <f t="shared" si="80"/>
        <v>0</v>
      </c>
      <c r="H65" s="238">
        <f>SUM(H63:H64)</f>
        <v>73</v>
      </c>
      <c r="J65" s="238">
        <f>SUM(J63:J64)</f>
        <v>157</v>
      </c>
      <c r="K65" s="238">
        <f t="shared" ref="K65:O65" si="81">SUM(K63:K64)</f>
        <v>28</v>
      </c>
      <c r="L65" s="238">
        <f t="shared" si="81"/>
        <v>6</v>
      </c>
      <c r="M65" s="238">
        <f t="shared" si="81"/>
        <v>0</v>
      </c>
      <c r="N65" s="238">
        <f t="shared" si="81"/>
        <v>0</v>
      </c>
      <c r="O65" s="238">
        <f t="shared" si="81"/>
        <v>0</v>
      </c>
      <c r="P65" s="238">
        <f>SUM(P63:P64)</f>
        <v>191</v>
      </c>
      <c r="R65" s="238">
        <f>SUM(R63:R64)</f>
        <v>67.5</v>
      </c>
      <c r="S65" s="238">
        <f t="shared" ref="S65:W65" si="82">SUM(S63:S64)</f>
        <v>9.5</v>
      </c>
      <c r="T65" s="238">
        <f t="shared" si="82"/>
        <v>2</v>
      </c>
      <c r="U65" s="238">
        <f t="shared" si="82"/>
        <v>0</v>
      </c>
      <c r="V65" s="238">
        <f t="shared" si="82"/>
        <v>0</v>
      </c>
      <c r="W65" s="238">
        <f t="shared" si="82"/>
        <v>0</v>
      </c>
      <c r="X65" s="238">
        <f>SUM(X63:X64)</f>
        <v>79</v>
      </c>
      <c r="Z65" s="238">
        <f>SUM(Z63:Z64)</f>
        <v>77.5</v>
      </c>
      <c r="AA65" s="238">
        <f t="shared" ref="AA65:AE65" si="83">SUM(AA63:AA64)</f>
        <v>12.83</v>
      </c>
      <c r="AB65" s="238">
        <f t="shared" si="83"/>
        <v>2</v>
      </c>
      <c r="AC65" s="238">
        <f t="shared" si="83"/>
        <v>0</v>
      </c>
      <c r="AD65" s="238">
        <f t="shared" si="83"/>
        <v>0</v>
      </c>
      <c r="AE65" s="238">
        <f t="shared" si="83"/>
        <v>0</v>
      </c>
      <c r="AF65" s="238">
        <f>SUM(AF63:AF64)</f>
        <v>92.33</v>
      </c>
      <c r="AH65" s="238">
        <f>SUM(AH63:AH64)</f>
        <v>146</v>
      </c>
      <c r="AI65" s="238">
        <f t="shared" ref="AI65:AM65" si="84">SUM(AI63:AI64)</f>
        <v>26.5</v>
      </c>
      <c r="AJ65" s="238">
        <f t="shared" si="84"/>
        <v>4</v>
      </c>
      <c r="AK65" s="238">
        <f t="shared" si="84"/>
        <v>0</v>
      </c>
      <c r="AL65" s="238">
        <f t="shared" si="84"/>
        <v>0</v>
      </c>
      <c r="AM65" s="238">
        <f t="shared" si="84"/>
        <v>0</v>
      </c>
      <c r="AN65" s="238">
        <f>SUM(AN63:AN64)</f>
        <v>176.5</v>
      </c>
      <c r="AP65" s="238">
        <f>SUM(AP63:AP64)</f>
        <v>38</v>
      </c>
      <c r="AQ65" s="238">
        <f t="shared" ref="AQ65:AU65" si="85">SUM(AQ63:AQ64)</f>
        <v>7</v>
      </c>
      <c r="AR65" s="238">
        <f t="shared" si="85"/>
        <v>1</v>
      </c>
      <c r="AS65" s="238">
        <f t="shared" si="85"/>
        <v>0</v>
      </c>
      <c r="AT65" s="238">
        <f t="shared" si="85"/>
        <v>3</v>
      </c>
      <c r="AU65" s="238">
        <f t="shared" si="85"/>
        <v>0</v>
      </c>
      <c r="AV65" s="238">
        <f>SUM(AV63:AV64)</f>
        <v>49</v>
      </c>
      <c r="AX65" s="238">
        <f>SUM(AX63:AX64)</f>
        <v>4</v>
      </c>
      <c r="AY65" s="238">
        <f t="shared" ref="AY65:BC65" si="86">SUM(AY63:AY64)</f>
        <v>2</v>
      </c>
      <c r="AZ65" s="238">
        <f t="shared" si="86"/>
        <v>0</v>
      </c>
      <c r="BA65" s="238">
        <f t="shared" si="86"/>
        <v>0</v>
      </c>
      <c r="BB65" s="238">
        <f t="shared" si="86"/>
        <v>1</v>
      </c>
      <c r="BC65" s="238">
        <f t="shared" si="86"/>
        <v>0</v>
      </c>
      <c r="BD65" s="238">
        <f>SUM(BD63:BD64)</f>
        <v>7</v>
      </c>
      <c r="BF65" s="238">
        <f>SUM(BF63:BF64)</f>
        <v>4</v>
      </c>
      <c r="BG65" s="238">
        <f t="shared" ref="BG65:BK65" si="87">SUM(BG63:BG64)</f>
        <v>0</v>
      </c>
      <c r="BH65" s="238">
        <f t="shared" si="87"/>
        <v>1</v>
      </c>
      <c r="BI65" s="238">
        <f t="shared" si="87"/>
        <v>0</v>
      </c>
      <c r="BJ65" s="238">
        <f t="shared" si="87"/>
        <v>1</v>
      </c>
      <c r="BK65" s="238">
        <f t="shared" si="87"/>
        <v>0</v>
      </c>
      <c r="BL65" s="238">
        <f>SUM(BL63:BL64)</f>
        <v>6</v>
      </c>
      <c r="BN65" s="238">
        <f>SUM(BN63:BN64)</f>
        <v>554</v>
      </c>
      <c r="BO65" s="238">
        <f t="shared" ref="BO65:BS65" si="88">SUM(BO63:BO64)</f>
        <v>95.83</v>
      </c>
      <c r="BP65" s="238">
        <f t="shared" si="88"/>
        <v>18</v>
      </c>
      <c r="BQ65" s="238">
        <f t="shared" si="88"/>
        <v>0</v>
      </c>
      <c r="BR65" s="238">
        <f t="shared" si="88"/>
        <v>6</v>
      </c>
      <c r="BS65" s="238">
        <f t="shared" si="88"/>
        <v>0</v>
      </c>
      <c r="BT65" s="238">
        <f>SUM(BT63:BT64)</f>
        <v>673.83</v>
      </c>
    </row>
    <row r="66" spans="1:72" ht="16.5" thickBot="1" x14ac:dyDescent="0.3"/>
    <row r="67" spans="1:72" ht="16.5" thickBot="1" x14ac:dyDescent="0.3">
      <c r="A67" s="199"/>
      <c r="B67" s="239" t="s">
        <v>309</v>
      </c>
      <c r="C67" s="239" t="s">
        <v>310</v>
      </c>
      <c r="D67" s="239" t="s">
        <v>311</v>
      </c>
      <c r="E67" s="240" t="str">
        <f>E20</f>
        <v>Other</v>
      </c>
      <c r="F67" s="239" t="s">
        <v>313</v>
      </c>
      <c r="G67" s="239" t="s">
        <v>314</v>
      </c>
      <c r="H67" s="239" t="s">
        <v>59</v>
      </c>
      <c r="J67" s="239" t="s">
        <v>309</v>
      </c>
      <c r="K67" s="239" t="s">
        <v>310</v>
      </c>
      <c r="L67" s="239" t="s">
        <v>311</v>
      </c>
      <c r="M67" s="240" t="str">
        <f>M20</f>
        <v>Other</v>
      </c>
      <c r="N67" s="239" t="s">
        <v>313</v>
      </c>
      <c r="O67" s="239" t="s">
        <v>314</v>
      </c>
      <c r="P67" s="240" t="str">
        <f>P38</f>
        <v>Cadence</v>
      </c>
      <c r="R67" s="239" t="s">
        <v>309</v>
      </c>
      <c r="S67" s="239" t="s">
        <v>310</v>
      </c>
      <c r="T67" s="239" t="s">
        <v>311</v>
      </c>
      <c r="U67" s="240" t="str">
        <f>U20</f>
        <v>Other</v>
      </c>
      <c r="V67" s="239" t="s">
        <v>313</v>
      </c>
      <c r="W67" s="239" t="s">
        <v>314</v>
      </c>
      <c r="X67" s="240" t="str">
        <f>X38</f>
        <v>St. Rose</v>
      </c>
      <c r="Z67" s="239" t="s">
        <v>309</v>
      </c>
      <c r="AA67" s="239" t="s">
        <v>310</v>
      </c>
      <c r="AB67" s="239" t="s">
        <v>311</v>
      </c>
      <c r="AC67" s="240" t="str">
        <f>AC20</f>
        <v>Other</v>
      </c>
      <c r="AD67" s="239" t="s">
        <v>313</v>
      </c>
      <c r="AE67" s="239" t="s">
        <v>314</v>
      </c>
      <c r="AF67" s="240" t="str">
        <f>AF38</f>
        <v>Inspirada</v>
      </c>
      <c r="AH67" s="239" t="s">
        <v>309</v>
      </c>
      <c r="AI67" s="239" t="s">
        <v>310</v>
      </c>
      <c r="AJ67" s="239" t="s">
        <v>311</v>
      </c>
      <c r="AK67" s="240" t="str">
        <f>AK20</f>
        <v>Other</v>
      </c>
      <c r="AL67" s="239" t="s">
        <v>313</v>
      </c>
      <c r="AM67" s="239" t="s">
        <v>314</v>
      </c>
      <c r="AN67" s="240" t="str">
        <f>AN38</f>
        <v>Sloan</v>
      </c>
      <c r="AP67" s="239" t="s">
        <v>309</v>
      </c>
      <c r="AQ67" s="239" t="s">
        <v>310</v>
      </c>
      <c r="AR67" s="239" t="s">
        <v>311</v>
      </c>
      <c r="AS67" s="240" t="str">
        <f>AS20</f>
        <v>Other</v>
      </c>
      <c r="AT67" s="239" t="s">
        <v>313</v>
      </c>
      <c r="AU67" s="239" t="s">
        <v>314</v>
      </c>
      <c r="AV67" s="240" t="str">
        <f>AV38</f>
        <v>Springs</v>
      </c>
      <c r="AX67" s="239" t="s">
        <v>309</v>
      </c>
      <c r="AY67" s="239" t="s">
        <v>310</v>
      </c>
      <c r="AZ67" s="239" t="s">
        <v>311</v>
      </c>
      <c r="BA67" s="240" t="str">
        <f>BA20</f>
        <v>Other</v>
      </c>
      <c r="BB67" s="239" t="s">
        <v>313</v>
      </c>
      <c r="BC67" s="239" t="s">
        <v>314</v>
      </c>
      <c r="BD67" s="240" t="str">
        <f>BD38</f>
        <v>Virtual</v>
      </c>
      <c r="BF67" s="239" t="s">
        <v>309</v>
      </c>
      <c r="BG67" s="239" t="s">
        <v>310</v>
      </c>
      <c r="BH67" s="239" t="s">
        <v>311</v>
      </c>
      <c r="BI67" s="240" t="str">
        <f>BI20</f>
        <v>Other</v>
      </c>
      <c r="BJ67" s="239" t="s">
        <v>313</v>
      </c>
      <c r="BK67" s="239" t="s">
        <v>314</v>
      </c>
      <c r="BL67" s="240" t="str">
        <f>BL38</f>
        <v>Central</v>
      </c>
      <c r="BN67" s="239" t="s">
        <v>309</v>
      </c>
      <c r="BO67" s="239" t="s">
        <v>310</v>
      </c>
      <c r="BP67" s="239" t="s">
        <v>311</v>
      </c>
      <c r="BQ67" s="240" t="str">
        <f>BQ20</f>
        <v>Other</v>
      </c>
      <c r="BR67" s="239" t="s">
        <v>313</v>
      </c>
      <c r="BS67" s="239" t="s">
        <v>314</v>
      </c>
      <c r="BT67" s="240" t="str">
        <f>BT38</f>
        <v>System</v>
      </c>
    </row>
    <row r="68" spans="1:72" x14ac:dyDescent="0.25">
      <c r="A68" s="200" t="s">
        <v>215</v>
      </c>
      <c r="B68" s="241">
        <f>B17*B2</f>
        <v>8793522</v>
      </c>
      <c r="C68" s="241"/>
      <c r="D68" s="241"/>
      <c r="E68" s="241"/>
      <c r="F68" s="241"/>
      <c r="G68" s="241"/>
      <c r="H68" s="241">
        <f>SUM(B68:G68)</f>
        <v>8793522</v>
      </c>
      <c r="J68" s="241">
        <f>J17*J2</f>
        <v>23847804</v>
      </c>
      <c r="K68" s="241"/>
      <c r="L68" s="241"/>
      <c r="M68" s="241"/>
      <c r="N68" s="241"/>
      <c r="O68" s="241"/>
      <c r="P68" s="241">
        <f>SUM(J68:O68)</f>
        <v>23847804</v>
      </c>
      <c r="R68" s="241">
        <f>R17*R2</f>
        <v>9770580</v>
      </c>
      <c r="S68" s="241"/>
      <c r="T68" s="241"/>
      <c r="U68" s="241"/>
      <c r="V68" s="241"/>
      <c r="W68" s="241"/>
      <c r="X68" s="241">
        <f>SUM(R68:W68)</f>
        <v>9770580</v>
      </c>
      <c r="Z68" s="241">
        <f>Z17*Z2</f>
        <v>11364228</v>
      </c>
      <c r="AA68" s="241"/>
      <c r="AB68" s="241"/>
      <c r="AC68" s="241"/>
      <c r="AD68" s="241"/>
      <c r="AE68" s="241"/>
      <c r="AF68" s="241">
        <f>SUM(Z68:AE68)</f>
        <v>11364228</v>
      </c>
      <c r="AH68" s="241">
        <f>AH17*AH2</f>
        <v>23696028</v>
      </c>
      <c r="AI68" s="241"/>
      <c r="AJ68" s="241"/>
      <c r="AK68" s="241"/>
      <c r="AL68" s="241"/>
      <c r="AM68" s="241"/>
      <c r="AN68" s="241">
        <f>SUM(AH68:AM68)</f>
        <v>23696028</v>
      </c>
      <c r="AP68" s="241">
        <f>AP17*AP2</f>
        <v>6526368</v>
      </c>
      <c r="AQ68" s="241"/>
      <c r="AR68" s="241"/>
      <c r="AS68" s="241"/>
      <c r="AT68" s="241"/>
      <c r="AU68" s="241"/>
      <c r="AV68" s="241">
        <f>SUM(AP68:AU68)</f>
        <v>6526368</v>
      </c>
      <c r="AX68" s="241">
        <f>AX17*AX2</f>
        <v>1726452</v>
      </c>
      <c r="AY68" s="241"/>
      <c r="AZ68" s="241"/>
      <c r="BA68" s="241"/>
      <c r="BB68" s="241"/>
      <c r="BC68" s="241"/>
      <c r="BD68" s="241">
        <f>SUM(AX68:BC68)</f>
        <v>1726452</v>
      </c>
      <c r="BF68" s="241"/>
      <c r="BG68" s="241"/>
      <c r="BH68" s="241"/>
      <c r="BI68" s="241"/>
      <c r="BJ68" s="241"/>
      <c r="BK68" s="241"/>
      <c r="BL68" s="241">
        <f>SUM(BF68:BK68)</f>
        <v>0</v>
      </c>
      <c r="BN68" s="241">
        <f>B68+J68+R68+Z68+AH68+AP68+AX68+BF68</f>
        <v>85724982</v>
      </c>
      <c r="BO68" s="241">
        <f t="shared" ref="BO68:BS81" si="89">C68+K68+S68+AA68+AI68+AQ68+AY68+BG68</f>
        <v>0</v>
      </c>
      <c r="BP68" s="241">
        <f t="shared" si="89"/>
        <v>0</v>
      </c>
      <c r="BQ68" s="241">
        <f t="shared" si="89"/>
        <v>0</v>
      </c>
      <c r="BR68" s="241">
        <f t="shared" si="89"/>
        <v>0</v>
      </c>
      <c r="BS68" s="241">
        <f t="shared" si="89"/>
        <v>0</v>
      </c>
      <c r="BT68" s="241">
        <f>SUM(BN68:BS68)</f>
        <v>85724982</v>
      </c>
    </row>
    <row r="69" spans="1:72" x14ac:dyDescent="0.25">
      <c r="A69" s="201" t="s">
        <v>216</v>
      </c>
      <c r="B69" s="242">
        <f>B22*4269</f>
        <v>149415</v>
      </c>
      <c r="C69" s="242"/>
      <c r="D69" s="242"/>
      <c r="E69" s="242"/>
      <c r="F69" s="242"/>
      <c r="G69" s="242"/>
      <c r="H69" s="241">
        <f t="shared" ref="H69:H81" si="90">SUM(B69:G69)</f>
        <v>149415</v>
      </c>
      <c r="J69" s="242">
        <f>J22*4269</f>
        <v>213450</v>
      </c>
      <c r="K69" s="242"/>
      <c r="L69" s="242"/>
      <c r="M69" s="242"/>
      <c r="N69" s="242"/>
      <c r="O69" s="242"/>
      <c r="P69" s="241">
        <f t="shared" ref="P69:P81" si="91">SUM(J69:O69)</f>
        <v>213450</v>
      </c>
      <c r="R69" s="242">
        <f>R22*4269</f>
        <v>93918</v>
      </c>
      <c r="S69" s="242"/>
      <c r="T69" s="242"/>
      <c r="U69" s="242"/>
      <c r="V69" s="242"/>
      <c r="W69" s="242"/>
      <c r="X69" s="241">
        <f t="shared" ref="X69:X81" si="92">SUM(R69:W69)</f>
        <v>93918</v>
      </c>
      <c r="Z69" s="242">
        <f>Z22*4269</f>
        <v>179298</v>
      </c>
      <c r="AA69" s="242"/>
      <c r="AB69" s="242"/>
      <c r="AC69" s="242"/>
      <c r="AD69" s="242"/>
      <c r="AE69" s="242"/>
      <c r="AF69" s="241">
        <f t="shared" ref="AF69:AF81" si="93">SUM(Z69:AE69)</f>
        <v>179298</v>
      </c>
      <c r="AH69" s="242">
        <f>AH22*4269</f>
        <v>192105</v>
      </c>
      <c r="AI69" s="242"/>
      <c r="AJ69" s="242"/>
      <c r="AK69" s="242"/>
      <c r="AL69" s="242"/>
      <c r="AM69" s="242"/>
      <c r="AN69" s="241">
        <f t="shared" ref="AN69:AN81" si="94">SUM(AH69:AM69)</f>
        <v>192105</v>
      </c>
      <c r="AP69" s="242">
        <f>AP22*4269</f>
        <v>140877</v>
      </c>
      <c r="AQ69" s="242"/>
      <c r="AR69" s="242"/>
      <c r="AS69" s="242"/>
      <c r="AT69" s="242"/>
      <c r="AU69" s="242"/>
      <c r="AV69" s="241">
        <f t="shared" ref="AV69:AV81" si="95">SUM(AP69:AU69)</f>
        <v>140877</v>
      </c>
      <c r="AX69" s="242">
        <f>AX22*4235</f>
        <v>8470</v>
      </c>
      <c r="AY69" s="242"/>
      <c r="AZ69" s="242"/>
      <c r="BA69" s="242"/>
      <c r="BB69" s="242"/>
      <c r="BC69" s="242"/>
      <c r="BD69" s="241">
        <f t="shared" ref="BD69:BD81" si="96">SUM(AX69:BC69)</f>
        <v>8470</v>
      </c>
      <c r="BF69" s="242"/>
      <c r="BG69" s="242"/>
      <c r="BH69" s="242"/>
      <c r="BI69" s="242"/>
      <c r="BJ69" s="242"/>
      <c r="BK69" s="242"/>
      <c r="BL69" s="241">
        <f t="shared" ref="BL69:BL81" si="97">SUM(BF69:BK69)</f>
        <v>0</v>
      </c>
      <c r="BN69" s="241">
        <f t="shared" ref="BN69:BN81" si="98">B69+J69+R69+Z69+AH69+AP69+AX69+BF69</f>
        <v>977533</v>
      </c>
      <c r="BO69" s="241">
        <f t="shared" si="89"/>
        <v>0</v>
      </c>
      <c r="BP69" s="241">
        <f t="shared" si="89"/>
        <v>0</v>
      </c>
      <c r="BQ69" s="241">
        <f t="shared" si="89"/>
        <v>0</v>
      </c>
      <c r="BR69" s="241">
        <f t="shared" si="89"/>
        <v>0</v>
      </c>
      <c r="BS69" s="241">
        <f t="shared" si="89"/>
        <v>0</v>
      </c>
      <c r="BT69" s="241">
        <f t="shared" ref="BT69:BT81" si="99">SUM(BN69:BS69)</f>
        <v>977533</v>
      </c>
    </row>
    <row r="70" spans="1:72" x14ac:dyDescent="0.25">
      <c r="A70" s="201" t="s">
        <v>217</v>
      </c>
      <c r="B70" s="242">
        <f>B23*1138</f>
        <v>37554</v>
      </c>
      <c r="C70" s="242"/>
      <c r="D70" s="242"/>
      <c r="E70" s="242"/>
      <c r="F70" s="242"/>
      <c r="G70" s="242"/>
      <c r="H70" s="241">
        <f t="shared" si="90"/>
        <v>37554</v>
      </c>
      <c r="J70" s="242">
        <f>J23*1138</f>
        <v>45520</v>
      </c>
      <c r="K70" s="242"/>
      <c r="L70" s="242"/>
      <c r="M70" s="242"/>
      <c r="N70" s="242"/>
      <c r="O70" s="242"/>
      <c r="P70" s="241">
        <f t="shared" si="91"/>
        <v>45520</v>
      </c>
      <c r="R70" s="242">
        <f>R23*1138</f>
        <v>76246</v>
      </c>
      <c r="S70" s="242"/>
      <c r="T70" s="242"/>
      <c r="U70" s="242"/>
      <c r="V70" s="242"/>
      <c r="W70" s="242"/>
      <c r="X70" s="241">
        <f t="shared" si="92"/>
        <v>76246</v>
      </c>
      <c r="Z70" s="242">
        <f>Z23*1138</f>
        <v>63728</v>
      </c>
      <c r="AA70" s="242"/>
      <c r="AB70" s="242"/>
      <c r="AC70" s="242"/>
      <c r="AD70" s="242"/>
      <c r="AE70" s="242"/>
      <c r="AF70" s="241">
        <f t="shared" si="93"/>
        <v>63728</v>
      </c>
      <c r="AH70" s="242">
        <f>AH23*1138</f>
        <v>101282</v>
      </c>
      <c r="AI70" s="242"/>
      <c r="AJ70" s="242"/>
      <c r="AK70" s="242"/>
      <c r="AL70" s="242"/>
      <c r="AM70" s="242"/>
      <c r="AN70" s="241">
        <f t="shared" si="94"/>
        <v>101282</v>
      </c>
      <c r="AP70" s="242">
        <f>AP23*1138</f>
        <v>0</v>
      </c>
      <c r="AQ70" s="242"/>
      <c r="AR70" s="242"/>
      <c r="AS70" s="242"/>
      <c r="AT70" s="242"/>
      <c r="AU70" s="242"/>
      <c r="AV70" s="241">
        <f t="shared" si="95"/>
        <v>0</v>
      </c>
      <c r="AX70" s="242">
        <f>AX23*1130</f>
        <v>0</v>
      </c>
      <c r="AY70" s="242"/>
      <c r="AZ70" s="242"/>
      <c r="BA70" s="242"/>
      <c r="BB70" s="242"/>
      <c r="BC70" s="242"/>
      <c r="BD70" s="241">
        <f t="shared" si="96"/>
        <v>0</v>
      </c>
      <c r="BF70" s="242"/>
      <c r="BG70" s="242"/>
      <c r="BH70" s="242"/>
      <c r="BI70" s="242"/>
      <c r="BJ70" s="242"/>
      <c r="BK70" s="242"/>
      <c r="BL70" s="241">
        <f t="shared" si="97"/>
        <v>0</v>
      </c>
      <c r="BN70" s="241">
        <f t="shared" si="98"/>
        <v>324330</v>
      </c>
      <c r="BO70" s="241">
        <f t="shared" si="89"/>
        <v>0</v>
      </c>
      <c r="BP70" s="241">
        <f t="shared" si="89"/>
        <v>0</v>
      </c>
      <c r="BQ70" s="241">
        <f t="shared" si="89"/>
        <v>0</v>
      </c>
      <c r="BR70" s="241">
        <f t="shared" si="89"/>
        <v>0</v>
      </c>
      <c r="BS70" s="241">
        <f t="shared" si="89"/>
        <v>0</v>
      </c>
      <c r="BT70" s="241">
        <f t="shared" si="99"/>
        <v>324330</v>
      </c>
    </row>
    <row r="71" spans="1:72" x14ac:dyDescent="0.25">
      <c r="A71" s="201" t="s">
        <v>218</v>
      </c>
      <c r="B71" s="242">
        <f>B24*3320</f>
        <v>66400</v>
      </c>
      <c r="C71" s="242"/>
      <c r="D71" s="242"/>
      <c r="E71" s="242"/>
      <c r="F71" s="242"/>
      <c r="G71" s="242"/>
      <c r="H71" s="241">
        <f t="shared" si="90"/>
        <v>66400</v>
      </c>
      <c r="J71" s="242">
        <f>J24*3320</f>
        <v>381800</v>
      </c>
      <c r="K71" s="242"/>
      <c r="L71" s="242"/>
      <c r="M71" s="242"/>
      <c r="N71" s="242"/>
      <c r="O71" s="242"/>
      <c r="P71" s="241">
        <f t="shared" si="91"/>
        <v>381800</v>
      </c>
      <c r="R71" s="242">
        <f>R24*3320</f>
        <v>26560</v>
      </c>
      <c r="S71" s="242"/>
      <c r="T71" s="242"/>
      <c r="U71" s="242"/>
      <c r="V71" s="242"/>
      <c r="W71" s="242"/>
      <c r="X71" s="241">
        <f t="shared" si="92"/>
        <v>26560</v>
      </c>
      <c r="Z71" s="242">
        <f>Z24*3320</f>
        <v>0</v>
      </c>
      <c r="AA71" s="242"/>
      <c r="AB71" s="242"/>
      <c r="AC71" s="242"/>
      <c r="AD71" s="242"/>
      <c r="AE71" s="242"/>
      <c r="AF71" s="241">
        <f t="shared" si="93"/>
        <v>0</v>
      </c>
      <c r="AH71" s="242">
        <f>AH24*3320</f>
        <v>265600</v>
      </c>
      <c r="AI71" s="242"/>
      <c r="AJ71" s="242"/>
      <c r="AK71" s="242"/>
      <c r="AL71" s="242"/>
      <c r="AM71" s="242"/>
      <c r="AN71" s="241">
        <f t="shared" si="94"/>
        <v>265600</v>
      </c>
      <c r="AP71" s="242">
        <f>AP24*3320</f>
        <v>83000</v>
      </c>
      <c r="AQ71" s="242"/>
      <c r="AR71" s="242"/>
      <c r="AS71" s="242"/>
      <c r="AT71" s="242"/>
      <c r="AU71" s="242"/>
      <c r="AV71" s="241">
        <f t="shared" si="95"/>
        <v>83000</v>
      </c>
      <c r="AX71" s="242">
        <f>AX24*3294</f>
        <v>49410</v>
      </c>
      <c r="AY71" s="242"/>
      <c r="AZ71" s="242"/>
      <c r="BA71" s="242"/>
      <c r="BB71" s="242"/>
      <c r="BC71" s="242"/>
      <c r="BD71" s="241">
        <f t="shared" si="96"/>
        <v>49410</v>
      </c>
      <c r="BF71" s="242"/>
      <c r="BG71" s="242"/>
      <c r="BH71" s="242"/>
      <c r="BI71" s="242"/>
      <c r="BJ71" s="242"/>
      <c r="BK71" s="242"/>
      <c r="BL71" s="241">
        <f t="shared" si="97"/>
        <v>0</v>
      </c>
      <c r="BN71" s="241">
        <f t="shared" si="98"/>
        <v>872770</v>
      </c>
      <c r="BO71" s="241">
        <f t="shared" si="89"/>
        <v>0</v>
      </c>
      <c r="BP71" s="241">
        <f t="shared" si="89"/>
        <v>0</v>
      </c>
      <c r="BQ71" s="241">
        <f t="shared" si="89"/>
        <v>0</v>
      </c>
      <c r="BR71" s="241">
        <f t="shared" si="89"/>
        <v>0</v>
      </c>
      <c r="BS71" s="241">
        <f t="shared" si="89"/>
        <v>0</v>
      </c>
      <c r="BT71" s="241">
        <f t="shared" si="99"/>
        <v>872770</v>
      </c>
    </row>
    <row r="72" spans="1:72" x14ac:dyDescent="0.25">
      <c r="A72" s="201" t="s">
        <v>219</v>
      </c>
      <c r="B72" s="242">
        <v>250000</v>
      </c>
      <c r="C72" s="242"/>
      <c r="D72" s="242"/>
      <c r="E72" s="242"/>
      <c r="F72" s="242"/>
      <c r="G72" s="242"/>
      <c r="H72" s="241">
        <f t="shared" si="90"/>
        <v>250000</v>
      </c>
      <c r="J72" s="242">
        <v>610000</v>
      </c>
      <c r="K72" s="242"/>
      <c r="L72" s="242"/>
      <c r="M72" s="242"/>
      <c r="N72" s="242"/>
      <c r="O72" s="242"/>
      <c r="P72" s="241">
        <f t="shared" si="91"/>
        <v>610000</v>
      </c>
      <c r="R72" s="242">
        <v>240000</v>
      </c>
      <c r="S72" s="242"/>
      <c r="T72" s="242"/>
      <c r="U72" s="242"/>
      <c r="V72" s="242"/>
      <c r="W72" s="242"/>
      <c r="X72" s="241">
        <f t="shared" si="92"/>
        <v>240000</v>
      </c>
      <c r="Z72" s="242">
        <v>285000</v>
      </c>
      <c r="AA72" s="242"/>
      <c r="AB72" s="242"/>
      <c r="AC72" s="242"/>
      <c r="AD72" s="242"/>
      <c r="AE72" s="242"/>
      <c r="AF72" s="241">
        <f t="shared" si="93"/>
        <v>285000</v>
      </c>
      <c r="AH72" s="242">
        <v>585000</v>
      </c>
      <c r="AI72" s="242"/>
      <c r="AJ72" s="242"/>
      <c r="AK72" s="242"/>
      <c r="AL72" s="242"/>
      <c r="AM72" s="242"/>
      <c r="AN72" s="241">
        <f t="shared" si="94"/>
        <v>585000</v>
      </c>
      <c r="AP72" s="242">
        <v>99000</v>
      </c>
      <c r="AQ72" s="242"/>
      <c r="AR72" s="242"/>
      <c r="AS72" s="242"/>
      <c r="AT72" s="242"/>
      <c r="AU72" s="242"/>
      <c r="AV72" s="241">
        <f t="shared" si="95"/>
        <v>99000</v>
      </c>
      <c r="AX72" s="242">
        <v>37126</v>
      </c>
      <c r="AY72" s="242"/>
      <c r="AZ72" s="242"/>
      <c r="BA72" s="242"/>
      <c r="BB72" s="242"/>
      <c r="BC72" s="242"/>
      <c r="BD72" s="241">
        <f t="shared" si="96"/>
        <v>37126</v>
      </c>
      <c r="BF72" s="242"/>
      <c r="BG72" s="242"/>
      <c r="BH72" s="242"/>
      <c r="BI72" s="242"/>
      <c r="BJ72" s="242"/>
      <c r="BK72" s="242"/>
      <c r="BL72" s="241"/>
      <c r="BN72" s="241">
        <f t="shared" si="98"/>
        <v>2106126</v>
      </c>
      <c r="BO72" s="241">
        <f t="shared" si="89"/>
        <v>0</v>
      </c>
      <c r="BP72" s="241">
        <f t="shared" si="89"/>
        <v>0</v>
      </c>
      <c r="BQ72" s="241">
        <f t="shared" si="89"/>
        <v>0</v>
      </c>
      <c r="BR72" s="241">
        <f t="shared" si="89"/>
        <v>0</v>
      </c>
      <c r="BS72" s="241">
        <f t="shared" si="89"/>
        <v>0</v>
      </c>
      <c r="BT72" s="241">
        <f t="shared" si="99"/>
        <v>2106126</v>
      </c>
    </row>
    <row r="73" spans="1:72" x14ac:dyDescent="0.25">
      <c r="A73" s="201" t="s">
        <v>220</v>
      </c>
      <c r="B73" s="242"/>
      <c r="C73" s="242">
        <v>157805</v>
      </c>
      <c r="D73" s="242"/>
      <c r="E73" s="242"/>
      <c r="F73" s="242"/>
      <c r="G73" s="242"/>
      <c r="H73" s="241">
        <f t="shared" si="90"/>
        <v>157805</v>
      </c>
      <c r="J73" s="242"/>
      <c r="K73" s="242">
        <v>450210</v>
      </c>
      <c r="L73" s="242"/>
      <c r="M73" s="242"/>
      <c r="N73" s="242"/>
      <c r="O73" s="242"/>
      <c r="P73" s="241">
        <f t="shared" si="91"/>
        <v>450210</v>
      </c>
      <c r="R73" s="242"/>
      <c r="S73" s="242">
        <v>128410</v>
      </c>
      <c r="T73" s="242"/>
      <c r="U73" s="242"/>
      <c r="V73" s="242"/>
      <c r="W73" s="242"/>
      <c r="X73" s="241">
        <f t="shared" si="92"/>
        <v>128410</v>
      </c>
      <c r="Z73" s="242"/>
      <c r="AA73" s="242">
        <f>170182-35000</f>
        <v>135182</v>
      </c>
      <c r="AB73" s="242"/>
      <c r="AC73" s="242"/>
      <c r="AD73" s="242"/>
      <c r="AE73" s="242"/>
      <c r="AF73" s="241">
        <f t="shared" si="93"/>
        <v>135182</v>
      </c>
      <c r="AH73" s="242"/>
      <c r="AI73" s="242">
        <v>326441</v>
      </c>
      <c r="AJ73" s="242"/>
      <c r="AK73" s="242"/>
      <c r="AL73" s="242"/>
      <c r="AM73" s="242"/>
      <c r="AN73" s="241">
        <f t="shared" si="94"/>
        <v>326441</v>
      </c>
      <c r="AP73" s="242"/>
      <c r="AQ73" s="242">
        <v>35000</v>
      </c>
      <c r="AR73" s="242"/>
      <c r="AS73" s="242"/>
      <c r="AT73" s="242"/>
      <c r="AU73" s="242"/>
      <c r="AV73" s="241">
        <f t="shared" si="95"/>
        <v>35000</v>
      </c>
      <c r="AX73" s="242"/>
      <c r="AY73" s="243">
        <v>15471</v>
      </c>
      <c r="AZ73" s="242"/>
      <c r="BA73" s="242"/>
      <c r="BB73" s="242"/>
      <c r="BC73" s="242"/>
      <c r="BD73" s="241">
        <f t="shared" si="96"/>
        <v>15471</v>
      </c>
      <c r="BF73" s="242"/>
      <c r="BG73" s="242"/>
      <c r="BH73" s="242"/>
      <c r="BI73" s="242"/>
      <c r="BJ73" s="242"/>
      <c r="BK73" s="242"/>
      <c r="BL73" s="241">
        <f t="shared" si="97"/>
        <v>0</v>
      </c>
      <c r="BN73" s="241">
        <f t="shared" si="98"/>
        <v>0</v>
      </c>
      <c r="BO73" s="241">
        <f t="shared" si="89"/>
        <v>1248519</v>
      </c>
      <c r="BP73" s="241">
        <f t="shared" si="89"/>
        <v>0</v>
      </c>
      <c r="BQ73" s="241">
        <f t="shared" si="89"/>
        <v>0</v>
      </c>
      <c r="BR73" s="241">
        <f t="shared" si="89"/>
        <v>0</v>
      </c>
      <c r="BS73" s="241">
        <f t="shared" si="89"/>
        <v>0</v>
      </c>
      <c r="BT73" s="241">
        <f t="shared" si="99"/>
        <v>1248519</v>
      </c>
    </row>
    <row r="74" spans="1:72" x14ac:dyDescent="0.25">
      <c r="A74" s="201" t="s">
        <v>221</v>
      </c>
      <c r="B74" s="244"/>
      <c r="C74" s="244">
        <f>3700*C21</f>
        <v>414400</v>
      </c>
      <c r="D74" s="244"/>
      <c r="E74" s="244"/>
      <c r="F74" s="244"/>
      <c r="G74" s="244"/>
      <c r="H74" s="241">
        <f t="shared" si="90"/>
        <v>414400</v>
      </c>
      <c r="J74" s="244"/>
      <c r="K74" s="244">
        <f>3700*K21</f>
        <v>1054500</v>
      </c>
      <c r="L74" s="244"/>
      <c r="M74" s="244"/>
      <c r="N74" s="244"/>
      <c r="O74" s="244"/>
      <c r="P74" s="241">
        <f t="shared" si="91"/>
        <v>1054500</v>
      </c>
      <c r="R74" s="244"/>
      <c r="S74" s="244">
        <f>3700*S21</f>
        <v>296000</v>
      </c>
      <c r="T74" s="244"/>
      <c r="U74" s="244"/>
      <c r="V74" s="244"/>
      <c r="W74" s="244"/>
      <c r="X74" s="241">
        <f t="shared" si="92"/>
        <v>296000</v>
      </c>
      <c r="Z74" s="244"/>
      <c r="AA74" s="244">
        <f>3700*AA21</f>
        <v>370000</v>
      </c>
      <c r="AB74" s="244"/>
      <c r="AC74" s="244"/>
      <c r="AD74" s="244"/>
      <c r="AE74" s="244"/>
      <c r="AF74" s="241">
        <f t="shared" si="93"/>
        <v>370000</v>
      </c>
      <c r="AH74" s="244"/>
      <c r="AI74" s="244">
        <f>3700*AI21</f>
        <v>758500</v>
      </c>
      <c r="AJ74" s="244"/>
      <c r="AK74" s="244"/>
      <c r="AL74" s="244"/>
      <c r="AM74" s="244"/>
      <c r="AN74" s="241">
        <f t="shared" si="94"/>
        <v>758500</v>
      </c>
      <c r="AP74" s="244"/>
      <c r="AQ74" s="244">
        <f>3700*AQ21</f>
        <v>129500</v>
      </c>
      <c r="AR74" s="244"/>
      <c r="AS74" s="244"/>
      <c r="AT74" s="244"/>
      <c r="AU74" s="244"/>
      <c r="AV74" s="241">
        <f t="shared" si="95"/>
        <v>129500</v>
      </c>
      <c r="AX74" s="244"/>
      <c r="AY74" s="244">
        <f>3700*AY21</f>
        <v>77700</v>
      </c>
      <c r="AZ74" s="244"/>
      <c r="BA74" s="244"/>
      <c r="BB74" s="244"/>
      <c r="BC74" s="244"/>
      <c r="BD74" s="241">
        <f t="shared" si="96"/>
        <v>77700</v>
      </c>
      <c r="BF74" s="242"/>
      <c r="BG74" s="242"/>
      <c r="BH74" s="242"/>
      <c r="BI74" s="242"/>
      <c r="BJ74" s="242"/>
      <c r="BK74" s="242"/>
      <c r="BL74" s="241">
        <f t="shared" si="97"/>
        <v>0</v>
      </c>
      <c r="BN74" s="241">
        <f t="shared" si="98"/>
        <v>0</v>
      </c>
      <c r="BO74" s="241">
        <f t="shared" si="89"/>
        <v>3100600</v>
      </c>
      <c r="BP74" s="241">
        <f t="shared" si="89"/>
        <v>0</v>
      </c>
      <c r="BQ74" s="241">
        <f t="shared" si="89"/>
        <v>0</v>
      </c>
      <c r="BR74" s="241">
        <f t="shared" si="89"/>
        <v>0</v>
      </c>
      <c r="BS74" s="241">
        <f t="shared" si="89"/>
        <v>0</v>
      </c>
      <c r="BT74" s="241">
        <f t="shared" si="99"/>
        <v>3100600</v>
      </c>
    </row>
    <row r="75" spans="1:72" x14ac:dyDescent="0.25">
      <c r="A75" s="201" t="s">
        <v>222</v>
      </c>
      <c r="B75" s="244"/>
      <c r="C75" s="244">
        <v>109558</v>
      </c>
      <c r="D75" s="244"/>
      <c r="E75" s="244"/>
      <c r="F75" s="244"/>
      <c r="G75" s="244"/>
      <c r="H75" s="241">
        <f t="shared" si="90"/>
        <v>109558</v>
      </c>
      <c r="J75" s="244"/>
      <c r="K75" s="244">
        <v>278785</v>
      </c>
      <c r="L75" s="244"/>
      <c r="M75" s="244"/>
      <c r="N75" s="244"/>
      <c r="O75" s="244"/>
      <c r="P75" s="241">
        <f t="shared" si="91"/>
        <v>278785</v>
      </c>
      <c r="R75" s="244"/>
      <c r="S75" s="244">
        <v>78255</v>
      </c>
      <c r="T75" s="244"/>
      <c r="U75" s="244"/>
      <c r="V75" s="244"/>
      <c r="W75" s="244"/>
      <c r="X75" s="241">
        <f t="shared" si="92"/>
        <v>78255</v>
      </c>
      <c r="Z75" s="244"/>
      <c r="AA75" s="244">
        <v>97820</v>
      </c>
      <c r="AB75" s="244"/>
      <c r="AC75" s="244"/>
      <c r="AD75" s="244"/>
      <c r="AE75" s="244"/>
      <c r="AF75" s="241">
        <f t="shared" si="93"/>
        <v>97820</v>
      </c>
      <c r="AH75" s="244"/>
      <c r="AI75" s="244">
        <v>192705</v>
      </c>
      <c r="AJ75" s="244"/>
      <c r="AK75" s="244"/>
      <c r="AL75" s="244"/>
      <c r="AM75" s="244"/>
      <c r="AN75" s="241">
        <f t="shared" si="94"/>
        <v>192705</v>
      </c>
      <c r="AP75" s="244"/>
      <c r="AQ75" s="244">
        <v>27390</v>
      </c>
      <c r="AR75" s="244"/>
      <c r="AS75" s="244"/>
      <c r="AT75" s="244"/>
      <c r="AU75" s="244"/>
      <c r="AV75" s="241">
        <f t="shared" si="95"/>
        <v>27390</v>
      </c>
      <c r="AX75" s="244"/>
      <c r="AY75" s="244">
        <v>20542</v>
      </c>
      <c r="AZ75" s="244"/>
      <c r="BA75" s="244"/>
      <c r="BB75" s="244"/>
      <c r="BC75" s="244"/>
      <c r="BD75" s="241">
        <f t="shared" si="96"/>
        <v>20542</v>
      </c>
      <c r="BF75" s="242"/>
      <c r="BG75" s="242"/>
      <c r="BH75" s="242"/>
      <c r="BI75" s="242"/>
      <c r="BJ75" s="242"/>
      <c r="BK75" s="242"/>
      <c r="BL75" s="241">
        <f t="shared" si="97"/>
        <v>0</v>
      </c>
      <c r="BN75" s="241">
        <f t="shared" si="98"/>
        <v>0</v>
      </c>
      <c r="BO75" s="241">
        <f t="shared" si="89"/>
        <v>805055</v>
      </c>
      <c r="BP75" s="241">
        <f t="shared" si="89"/>
        <v>0</v>
      </c>
      <c r="BQ75" s="241">
        <f t="shared" si="89"/>
        <v>0</v>
      </c>
      <c r="BR75" s="241">
        <f t="shared" si="89"/>
        <v>0</v>
      </c>
      <c r="BS75" s="241">
        <f t="shared" si="89"/>
        <v>0</v>
      </c>
      <c r="BT75" s="241">
        <f t="shared" si="99"/>
        <v>805055</v>
      </c>
    </row>
    <row r="76" spans="1:72" x14ac:dyDescent="0.25">
      <c r="A76" s="201" t="s">
        <v>223</v>
      </c>
      <c r="B76" s="242">
        <v>65000</v>
      </c>
      <c r="C76" s="244"/>
      <c r="D76" s="244"/>
      <c r="E76" s="244"/>
      <c r="F76" s="244"/>
      <c r="G76" s="244"/>
      <c r="H76" s="241">
        <f t="shared" si="90"/>
        <v>65000</v>
      </c>
      <c r="J76" s="242">
        <v>187500</v>
      </c>
      <c r="K76" s="244"/>
      <c r="L76" s="244"/>
      <c r="M76" s="244"/>
      <c r="N76" s="244"/>
      <c r="O76" s="244"/>
      <c r="P76" s="241">
        <f t="shared" si="91"/>
        <v>187500</v>
      </c>
      <c r="R76" s="242">
        <v>65000</v>
      </c>
      <c r="S76" s="244"/>
      <c r="T76" s="244"/>
      <c r="U76" s="244"/>
      <c r="V76" s="244"/>
      <c r="W76" s="244"/>
      <c r="X76" s="241">
        <f t="shared" si="92"/>
        <v>65000</v>
      </c>
      <c r="Z76" s="242">
        <v>65000</v>
      </c>
      <c r="AA76" s="244"/>
      <c r="AB76" s="244"/>
      <c r="AC76" s="244"/>
      <c r="AD76" s="244"/>
      <c r="AE76" s="244"/>
      <c r="AF76" s="241">
        <f t="shared" si="93"/>
        <v>65000</v>
      </c>
      <c r="AH76" s="242">
        <v>187500</v>
      </c>
      <c r="AI76" s="244"/>
      <c r="AJ76" s="244"/>
      <c r="AK76" s="244"/>
      <c r="AL76" s="244"/>
      <c r="AM76" s="244"/>
      <c r="AN76" s="241">
        <f t="shared" si="94"/>
        <v>187500</v>
      </c>
      <c r="AP76" s="242">
        <v>30000</v>
      </c>
      <c r="AQ76" s="244"/>
      <c r="AR76" s="244"/>
      <c r="AS76" s="244"/>
      <c r="AT76" s="244"/>
      <c r="AU76" s="244"/>
      <c r="AV76" s="241">
        <f t="shared" si="95"/>
        <v>30000</v>
      </c>
      <c r="AX76" s="242">
        <v>0</v>
      </c>
      <c r="AY76" s="242"/>
      <c r="AZ76" s="242"/>
      <c r="BA76" s="244"/>
      <c r="BB76" s="244"/>
      <c r="BC76" s="244"/>
      <c r="BD76" s="241">
        <f t="shared" si="96"/>
        <v>0</v>
      </c>
      <c r="BF76" s="242">
        <f>55000*12</f>
        <v>660000</v>
      </c>
      <c r="BG76" s="242"/>
      <c r="BH76" s="242"/>
      <c r="BI76" s="242"/>
      <c r="BJ76" s="242"/>
      <c r="BK76" s="242"/>
      <c r="BL76" s="241">
        <f t="shared" si="97"/>
        <v>660000</v>
      </c>
      <c r="BN76" s="241">
        <f t="shared" si="98"/>
        <v>1260000</v>
      </c>
      <c r="BO76" s="241">
        <f t="shared" si="89"/>
        <v>0</v>
      </c>
      <c r="BP76" s="241">
        <f t="shared" si="89"/>
        <v>0</v>
      </c>
      <c r="BQ76" s="241">
        <f t="shared" si="89"/>
        <v>0</v>
      </c>
      <c r="BR76" s="241">
        <f t="shared" si="89"/>
        <v>0</v>
      </c>
      <c r="BS76" s="241">
        <f t="shared" si="89"/>
        <v>0</v>
      </c>
      <c r="BT76" s="241">
        <f t="shared" si="99"/>
        <v>1260000</v>
      </c>
    </row>
    <row r="77" spans="1:72" x14ac:dyDescent="0.25">
      <c r="A77" s="201" t="s">
        <v>224</v>
      </c>
      <c r="B77" s="244"/>
      <c r="C77" s="244"/>
      <c r="D77" s="244"/>
      <c r="E77" s="244"/>
      <c r="F77" s="244">
        <f>76480+18732</f>
        <v>95212</v>
      </c>
      <c r="G77" s="244"/>
      <c r="H77" s="241">
        <f t="shared" si="90"/>
        <v>95212</v>
      </c>
      <c r="J77" s="244"/>
      <c r="K77" s="244"/>
      <c r="L77" s="244"/>
      <c r="M77" s="244"/>
      <c r="N77" s="244">
        <v>49770</v>
      </c>
      <c r="O77" s="244"/>
      <c r="P77" s="241">
        <f t="shared" si="91"/>
        <v>49770</v>
      </c>
      <c r="R77" s="244"/>
      <c r="S77" s="244"/>
      <c r="T77" s="244"/>
      <c r="U77" s="244"/>
      <c r="V77" s="244">
        <v>0</v>
      </c>
      <c r="W77" s="244"/>
      <c r="X77" s="241">
        <f t="shared" si="92"/>
        <v>0</v>
      </c>
      <c r="Z77" s="244"/>
      <c r="AA77" s="244"/>
      <c r="AB77" s="244"/>
      <c r="AC77" s="244"/>
      <c r="AD77" s="244"/>
      <c r="AE77" s="244"/>
      <c r="AF77" s="241">
        <f t="shared" si="93"/>
        <v>0</v>
      </c>
      <c r="AH77" s="244"/>
      <c r="AI77" s="244"/>
      <c r="AJ77" s="244"/>
      <c r="AK77" s="244"/>
      <c r="AL77" s="244"/>
      <c r="AM77" s="244"/>
      <c r="AN77" s="241">
        <f t="shared" si="94"/>
        <v>0</v>
      </c>
      <c r="AP77" s="244"/>
      <c r="AQ77" s="244"/>
      <c r="AR77" s="244"/>
      <c r="AS77" s="244"/>
      <c r="AT77" s="244">
        <f>100000+5000</f>
        <v>105000</v>
      </c>
      <c r="AU77" s="244"/>
      <c r="AV77" s="241">
        <f t="shared" si="95"/>
        <v>105000</v>
      </c>
      <c r="AX77" s="242"/>
      <c r="AY77" s="242"/>
      <c r="AZ77" s="242"/>
      <c r="BA77" s="244"/>
      <c r="BB77" s="244">
        <v>23520</v>
      </c>
      <c r="BC77" s="244"/>
      <c r="BD77" s="241">
        <f t="shared" si="96"/>
        <v>23520</v>
      </c>
      <c r="BF77" s="242"/>
      <c r="BG77" s="242"/>
      <c r="BH77" s="242"/>
      <c r="BI77" s="242"/>
      <c r="BJ77" s="242">
        <f>145235+192192+290000+120000</f>
        <v>747427</v>
      </c>
      <c r="BK77" s="242"/>
      <c r="BL77" s="241">
        <f t="shared" si="97"/>
        <v>747427</v>
      </c>
      <c r="BN77" s="241">
        <f t="shared" si="98"/>
        <v>0</v>
      </c>
      <c r="BO77" s="241">
        <f t="shared" si="89"/>
        <v>0</v>
      </c>
      <c r="BP77" s="241">
        <f t="shared" si="89"/>
        <v>0</v>
      </c>
      <c r="BQ77" s="241">
        <f t="shared" si="89"/>
        <v>0</v>
      </c>
      <c r="BR77" s="241">
        <f t="shared" si="89"/>
        <v>1020929</v>
      </c>
      <c r="BS77" s="241">
        <f t="shared" si="89"/>
        <v>0</v>
      </c>
      <c r="BT77" s="241">
        <f t="shared" si="99"/>
        <v>1020929</v>
      </c>
    </row>
    <row r="78" spans="1:72" x14ac:dyDescent="0.25">
      <c r="A78" s="201" t="s">
        <v>225</v>
      </c>
      <c r="B78" s="244"/>
      <c r="C78" s="244"/>
      <c r="D78" s="244"/>
      <c r="E78" s="244"/>
      <c r="F78" s="244"/>
      <c r="G78" s="244">
        <v>0</v>
      </c>
      <c r="H78" s="241">
        <f t="shared" si="90"/>
        <v>0</v>
      </c>
      <c r="J78" s="244">
        <f>AX163</f>
        <v>145600</v>
      </c>
      <c r="K78" s="244"/>
      <c r="L78" s="244"/>
      <c r="M78" s="244"/>
      <c r="N78" s="244"/>
      <c r="O78" s="244">
        <v>0</v>
      </c>
      <c r="P78" s="241">
        <f t="shared" si="91"/>
        <v>145600</v>
      </c>
      <c r="R78" s="244"/>
      <c r="S78" s="244"/>
      <c r="T78" s="244"/>
      <c r="U78" s="244"/>
      <c r="V78" s="244"/>
      <c r="W78" s="244">
        <v>0</v>
      </c>
      <c r="X78" s="241">
        <f t="shared" si="92"/>
        <v>0</v>
      </c>
      <c r="Z78" s="244"/>
      <c r="AA78" s="244"/>
      <c r="AB78" s="244"/>
      <c r="AC78" s="244"/>
      <c r="AD78" s="244"/>
      <c r="AE78" s="244">
        <v>0</v>
      </c>
      <c r="AF78" s="241">
        <f t="shared" si="93"/>
        <v>0</v>
      </c>
      <c r="AH78" s="244"/>
      <c r="AI78" s="244"/>
      <c r="AJ78" s="244"/>
      <c r="AK78" s="244"/>
      <c r="AL78" s="244"/>
      <c r="AM78" s="244">
        <v>0</v>
      </c>
      <c r="AN78" s="241">
        <f t="shared" si="94"/>
        <v>0</v>
      </c>
      <c r="AP78" s="244"/>
      <c r="AQ78" s="244"/>
      <c r="AR78" s="244"/>
      <c r="AS78" s="244"/>
      <c r="AT78" s="244"/>
      <c r="AU78" s="244">
        <v>0</v>
      </c>
      <c r="AV78" s="241">
        <f t="shared" si="95"/>
        <v>0</v>
      </c>
      <c r="AX78" s="242"/>
      <c r="AY78" s="242"/>
      <c r="AZ78" s="242"/>
      <c r="BA78" s="244"/>
      <c r="BB78" s="244"/>
      <c r="BC78" s="244">
        <v>0</v>
      </c>
      <c r="BD78" s="241">
        <f t="shared" si="96"/>
        <v>0</v>
      </c>
      <c r="BF78" s="242">
        <v>0</v>
      </c>
      <c r="BG78" s="242"/>
      <c r="BH78" s="242"/>
      <c r="BI78" s="242"/>
      <c r="BJ78" s="242"/>
      <c r="BK78" s="242"/>
      <c r="BL78" s="241">
        <f t="shared" si="97"/>
        <v>0</v>
      </c>
      <c r="BN78" s="241">
        <f t="shared" si="98"/>
        <v>145600</v>
      </c>
      <c r="BO78" s="241">
        <f t="shared" si="89"/>
        <v>0</v>
      </c>
      <c r="BP78" s="241">
        <f t="shared" si="89"/>
        <v>0</v>
      </c>
      <c r="BQ78" s="241">
        <f t="shared" si="89"/>
        <v>0</v>
      </c>
      <c r="BR78" s="241">
        <f t="shared" si="89"/>
        <v>0</v>
      </c>
      <c r="BS78" s="241">
        <f t="shared" si="89"/>
        <v>0</v>
      </c>
      <c r="BT78" s="241">
        <f t="shared" si="99"/>
        <v>145600</v>
      </c>
    </row>
    <row r="79" spans="1:72" x14ac:dyDescent="0.25">
      <c r="A79" s="201" t="s">
        <v>226</v>
      </c>
      <c r="B79" s="244"/>
      <c r="C79" s="244"/>
      <c r="D79" s="244"/>
      <c r="E79" s="244"/>
      <c r="F79" s="244"/>
      <c r="G79" s="244">
        <v>300000</v>
      </c>
      <c r="H79" s="241">
        <f t="shared" si="90"/>
        <v>300000</v>
      </c>
      <c r="J79" s="244"/>
      <c r="K79" s="244"/>
      <c r="L79" s="244"/>
      <c r="M79" s="244"/>
      <c r="N79" s="244"/>
      <c r="O79" s="244">
        <v>1500000</v>
      </c>
      <c r="P79" s="241">
        <f t="shared" si="91"/>
        <v>1500000</v>
      </c>
      <c r="R79" s="244"/>
      <c r="S79" s="244"/>
      <c r="T79" s="244"/>
      <c r="U79" s="244"/>
      <c r="V79" s="244"/>
      <c r="W79" s="244">
        <v>850000</v>
      </c>
      <c r="X79" s="241">
        <f t="shared" si="92"/>
        <v>850000</v>
      </c>
      <c r="Z79" s="244"/>
      <c r="AA79" s="244"/>
      <c r="AB79" s="244"/>
      <c r="AC79" s="244"/>
      <c r="AD79" s="244"/>
      <c r="AE79" s="244">
        <v>900000</v>
      </c>
      <c r="AF79" s="241">
        <f t="shared" si="93"/>
        <v>900000</v>
      </c>
      <c r="AH79" s="244"/>
      <c r="AI79" s="244"/>
      <c r="AJ79" s="244"/>
      <c r="AK79" s="244"/>
      <c r="AL79" s="244"/>
      <c r="AM79" s="244">
        <v>2500000</v>
      </c>
      <c r="AN79" s="241">
        <f t="shared" si="94"/>
        <v>2500000</v>
      </c>
      <c r="AP79" s="244"/>
      <c r="AQ79" s="244"/>
      <c r="AR79" s="244"/>
      <c r="AS79" s="244"/>
      <c r="AT79" s="244"/>
      <c r="AU79" s="244">
        <v>100000</v>
      </c>
      <c r="AV79" s="241">
        <f t="shared" si="95"/>
        <v>100000</v>
      </c>
      <c r="AX79" s="242"/>
      <c r="AY79" s="242"/>
      <c r="AZ79" s="242"/>
      <c r="BA79" s="244"/>
      <c r="BB79" s="244"/>
      <c r="BC79" s="244">
        <v>25000</v>
      </c>
      <c r="BD79" s="241">
        <f t="shared" si="96"/>
        <v>25000</v>
      </c>
      <c r="BF79" s="242"/>
      <c r="BG79" s="242"/>
      <c r="BH79" s="242"/>
      <c r="BI79" s="242"/>
      <c r="BJ79" s="242"/>
      <c r="BK79" s="242"/>
      <c r="BL79" s="241">
        <f t="shared" si="97"/>
        <v>0</v>
      </c>
      <c r="BN79" s="241">
        <f t="shared" si="98"/>
        <v>0</v>
      </c>
      <c r="BO79" s="241">
        <f t="shared" si="89"/>
        <v>0</v>
      </c>
      <c r="BP79" s="241">
        <f t="shared" si="89"/>
        <v>0</v>
      </c>
      <c r="BQ79" s="241">
        <f t="shared" si="89"/>
        <v>0</v>
      </c>
      <c r="BR79" s="241">
        <f t="shared" si="89"/>
        <v>0</v>
      </c>
      <c r="BS79" s="241">
        <f t="shared" si="89"/>
        <v>6175000</v>
      </c>
      <c r="BT79" s="241">
        <f t="shared" si="99"/>
        <v>6175000</v>
      </c>
    </row>
    <row r="80" spans="1:72" x14ac:dyDescent="0.25">
      <c r="A80" s="201" t="s">
        <v>227</v>
      </c>
      <c r="B80" s="244"/>
      <c r="C80" s="244"/>
      <c r="D80" s="242">
        <f>((125*2.42)*180)</f>
        <v>54450</v>
      </c>
      <c r="E80" s="244"/>
      <c r="F80" s="244"/>
      <c r="G80" s="244"/>
      <c r="H80" s="241">
        <f t="shared" si="90"/>
        <v>54450</v>
      </c>
      <c r="J80" s="244"/>
      <c r="K80" s="244"/>
      <c r="L80" s="242">
        <f>((200*2.42)*180)</f>
        <v>87120</v>
      </c>
      <c r="M80" s="244"/>
      <c r="N80" s="244"/>
      <c r="O80" s="244"/>
      <c r="P80" s="241">
        <f t="shared" si="91"/>
        <v>87120</v>
      </c>
      <c r="R80" s="244"/>
      <c r="S80" s="244"/>
      <c r="T80" s="242">
        <v>0</v>
      </c>
      <c r="U80" s="244"/>
      <c r="V80" s="244"/>
      <c r="W80" s="244"/>
      <c r="X80" s="241">
        <f t="shared" si="92"/>
        <v>0</v>
      </c>
      <c r="Z80" s="244"/>
      <c r="AA80" s="244"/>
      <c r="AB80" s="242">
        <v>0</v>
      </c>
      <c r="AC80" s="244"/>
      <c r="AD80" s="244"/>
      <c r="AE80" s="244"/>
      <c r="AF80" s="241">
        <f t="shared" si="93"/>
        <v>0</v>
      </c>
      <c r="AH80" s="244"/>
      <c r="AI80" s="244"/>
      <c r="AJ80" s="242">
        <v>0</v>
      </c>
      <c r="AK80" s="244"/>
      <c r="AL80" s="244"/>
      <c r="AM80" s="244"/>
      <c r="AN80" s="241">
        <f t="shared" si="94"/>
        <v>0</v>
      </c>
      <c r="AP80" s="244"/>
      <c r="AQ80" s="244"/>
      <c r="AR80" s="242">
        <f>(((240*0.9)*2.42)*180)+(((240*0.1)*0.4)*180)</f>
        <v>95817.600000000006</v>
      </c>
      <c r="AS80" s="244"/>
      <c r="AT80" s="244"/>
      <c r="AU80" s="244"/>
      <c r="AV80" s="241">
        <f t="shared" si="95"/>
        <v>95817.600000000006</v>
      </c>
      <c r="AX80" s="242"/>
      <c r="AY80" s="242"/>
      <c r="AZ80" s="242">
        <v>0</v>
      </c>
      <c r="BA80" s="244"/>
      <c r="BB80" s="244"/>
      <c r="BC80" s="244"/>
      <c r="BD80" s="241">
        <f t="shared" si="96"/>
        <v>0</v>
      </c>
      <c r="BF80" s="242"/>
      <c r="BG80" s="242"/>
      <c r="BH80" s="242"/>
      <c r="BI80" s="242"/>
      <c r="BJ80" s="242"/>
      <c r="BK80" s="242"/>
      <c r="BL80" s="241">
        <f t="shared" si="97"/>
        <v>0</v>
      </c>
      <c r="BN80" s="241">
        <f t="shared" si="98"/>
        <v>0</v>
      </c>
      <c r="BO80" s="241">
        <f t="shared" si="89"/>
        <v>0</v>
      </c>
      <c r="BP80" s="241">
        <f t="shared" si="89"/>
        <v>237387.6</v>
      </c>
      <c r="BQ80" s="241">
        <f t="shared" si="89"/>
        <v>0</v>
      </c>
      <c r="BR80" s="241">
        <f t="shared" si="89"/>
        <v>0</v>
      </c>
      <c r="BS80" s="241">
        <f t="shared" si="89"/>
        <v>0</v>
      </c>
      <c r="BT80" s="241">
        <f t="shared" si="99"/>
        <v>237387.6</v>
      </c>
    </row>
    <row r="81" spans="1:72" x14ac:dyDescent="0.25">
      <c r="A81" s="202" t="s">
        <v>228</v>
      </c>
      <c r="B81" s="245"/>
      <c r="C81" s="245"/>
      <c r="D81" s="242">
        <f>(5.06*25*180)+(50*4.17*180)+(175*4.57*180)</f>
        <v>204255</v>
      </c>
      <c r="E81" s="245"/>
      <c r="F81" s="245"/>
      <c r="G81" s="245"/>
      <c r="H81" s="241">
        <f t="shared" si="90"/>
        <v>204255</v>
      </c>
      <c r="J81" s="245"/>
      <c r="K81" s="245"/>
      <c r="L81" s="242">
        <f>(5.06*75*180)+(150*4.17*180)+(300*4.57*180)</f>
        <v>427680</v>
      </c>
      <c r="M81" s="245"/>
      <c r="N81" s="245"/>
      <c r="O81" s="245"/>
      <c r="P81" s="241">
        <f t="shared" si="91"/>
        <v>427680</v>
      </c>
      <c r="R81" s="245"/>
      <c r="S81" s="245"/>
      <c r="T81" s="242">
        <f>(5.06*55*180)+(19*4.17*180)+(91*4.57*180)</f>
        <v>139212</v>
      </c>
      <c r="U81" s="245"/>
      <c r="V81" s="245"/>
      <c r="W81" s="245"/>
      <c r="X81" s="241">
        <f t="shared" si="92"/>
        <v>139212</v>
      </c>
      <c r="Z81" s="245"/>
      <c r="AA81" s="245"/>
      <c r="AB81" s="242">
        <f>(5.06*64*180)+((2*4.17*180)+(39*4.57*180))</f>
        <v>91873.799999999988</v>
      </c>
      <c r="AC81" s="245"/>
      <c r="AD81" s="245"/>
      <c r="AE81" s="245"/>
      <c r="AF81" s="241">
        <f t="shared" si="93"/>
        <v>91873.799999999988</v>
      </c>
      <c r="AH81" s="245"/>
      <c r="AI81" s="245"/>
      <c r="AJ81" s="242">
        <f>(5.06*136*180)+(20*4.17*180)+(119*4.57*180)</f>
        <v>236770.2</v>
      </c>
      <c r="AK81" s="245"/>
      <c r="AL81" s="245"/>
      <c r="AM81" s="245"/>
      <c r="AN81" s="241">
        <f t="shared" si="94"/>
        <v>236770.2</v>
      </c>
      <c r="AP81" s="245"/>
      <c r="AQ81" s="245"/>
      <c r="AR81" s="242">
        <f>(((590*0.9)*4.57)*180)+(((590*0.1)*0.53)*180)</f>
        <v>442429.2</v>
      </c>
      <c r="AS81" s="245"/>
      <c r="AT81" s="245"/>
      <c r="AU81" s="245"/>
      <c r="AV81" s="241">
        <f t="shared" si="95"/>
        <v>442429.2</v>
      </c>
      <c r="AX81" s="282"/>
      <c r="AY81" s="282"/>
      <c r="AZ81" s="242"/>
      <c r="BA81" s="245"/>
      <c r="BB81" s="245"/>
      <c r="BC81" s="245"/>
      <c r="BD81" s="241">
        <f t="shared" si="96"/>
        <v>0</v>
      </c>
      <c r="BF81" s="282"/>
      <c r="BG81" s="282"/>
      <c r="BH81" s="242"/>
      <c r="BI81" s="282"/>
      <c r="BJ81" s="282"/>
      <c r="BK81" s="282"/>
      <c r="BL81" s="241">
        <f t="shared" si="97"/>
        <v>0</v>
      </c>
      <c r="BN81" s="241">
        <f t="shared" si="98"/>
        <v>0</v>
      </c>
      <c r="BO81" s="241">
        <f t="shared" si="89"/>
        <v>0</v>
      </c>
      <c r="BP81" s="241">
        <f t="shared" si="89"/>
        <v>1542220.2</v>
      </c>
      <c r="BQ81" s="241">
        <f t="shared" si="89"/>
        <v>0</v>
      </c>
      <c r="BR81" s="241">
        <f t="shared" si="89"/>
        <v>0</v>
      </c>
      <c r="BS81" s="241">
        <f t="shared" si="89"/>
        <v>0</v>
      </c>
      <c r="BT81" s="241">
        <f t="shared" si="99"/>
        <v>1542220.2</v>
      </c>
    </row>
    <row r="82" spans="1:72" x14ac:dyDescent="0.25">
      <c r="A82" s="203"/>
      <c r="B82" s="246">
        <f>SUM(B68:B81)</f>
        <v>9361891</v>
      </c>
      <c r="C82" s="246">
        <f t="shared" ref="C82:G82" si="100">SUM(C68:C81)</f>
        <v>681763</v>
      </c>
      <c r="D82" s="246">
        <f t="shared" si="100"/>
        <v>258705</v>
      </c>
      <c r="E82" s="246">
        <f t="shared" si="100"/>
        <v>0</v>
      </c>
      <c r="F82" s="246">
        <f t="shared" si="100"/>
        <v>95212</v>
      </c>
      <c r="G82" s="246">
        <f t="shared" si="100"/>
        <v>300000</v>
      </c>
      <c r="H82" s="246">
        <f>SUM(H68:H81)</f>
        <v>10697571</v>
      </c>
      <c r="J82" s="246">
        <f>SUM(J68:J81)</f>
        <v>25431674</v>
      </c>
      <c r="K82" s="246">
        <f t="shared" ref="K82:O82" si="101">SUM(K68:K81)</f>
        <v>1783495</v>
      </c>
      <c r="L82" s="246">
        <f t="shared" si="101"/>
        <v>514800</v>
      </c>
      <c r="M82" s="246">
        <f t="shared" si="101"/>
        <v>0</v>
      </c>
      <c r="N82" s="246">
        <f t="shared" si="101"/>
        <v>49770</v>
      </c>
      <c r="O82" s="246">
        <f t="shared" si="101"/>
        <v>1500000</v>
      </c>
      <c r="P82" s="246">
        <f>SUM(P68:P81)</f>
        <v>29279739</v>
      </c>
      <c r="R82" s="246">
        <f>SUM(R68:R81)</f>
        <v>10272304</v>
      </c>
      <c r="S82" s="246">
        <f t="shared" ref="S82:W82" si="102">SUM(S68:S81)</f>
        <v>502665</v>
      </c>
      <c r="T82" s="246">
        <f t="shared" si="102"/>
        <v>139212</v>
      </c>
      <c r="U82" s="246">
        <f t="shared" si="102"/>
        <v>0</v>
      </c>
      <c r="V82" s="246">
        <f t="shared" si="102"/>
        <v>0</v>
      </c>
      <c r="W82" s="246">
        <f t="shared" si="102"/>
        <v>850000</v>
      </c>
      <c r="X82" s="246">
        <f>SUM(X68:X81)</f>
        <v>11764181</v>
      </c>
      <c r="Z82" s="246">
        <f>SUM(Z68:Z81)</f>
        <v>11957254</v>
      </c>
      <c r="AA82" s="246">
        <f t="shared" ref="AA82:AE82" si="103">SUM(AA68:AA81)</f>
        <v>603002</v>
      </c>
      <c r="AB82" s="246">
        <f t="shared" si="103"/>
        <v>91873.799999999988</v>
      </c>
      <c r="AC82" s="246">
        <f t="shared" si="103"/>
        <v>0</v>
      </c>
      <c r="AD82" s="246">
        <f t="shared" si="103"/>
        <v>0</v>
      </c>
      <c r="AE82" s="246">
        <f t="shared" si="103"/>
        <v>900000</v>
      </c>
      <c r="AF82" s="246">
        <f>SUM(AF68:AF81)</f>
        <v>13552129.800000001</v>
      </c>
      <c r="AH82" s="246">
        <f>SUM(AH68:AH81)</f>
        <v>25027515</v>
      </c>
      <c r="AI82" s="246">
        <f t="shared" ref="AI82:AM82" si="104">SUM(AI68:AI81)</f>
        <v>1277646</v>
      </c>
      <c r="AJ82" s="246">
        <f t="shared" si="104"/>
        <v>236770.2</v>
      </c>
      <c r="AK82" s="246">
        <f t="shared" si="104"/>
        <v>0</v>
      </c>
      <c r="AL82" s="246">
        <f t="shared" si="104"/>
        <v>0</v>
      </c>
      <c r="AM82" s="246">
        <f t="shared" si="104"/>
        <v>2500000</v>
      </c>
      <c r="AN82" s="246">
        <f>SUM(AN68:AN81)</f>
        <v>29041931.199999999</v>
      </c>
      <c r="AP82" s="246">
        <f>SUM(AP68:AP81)</f>
        <v>6879245</v>
      </c>
      <c r="AQ82" s="246">
        <f t="shared" ref="AQ82:AU82" si="105">SUM(AQ68:AQ81)</f>
        <v>191890</v>
      </c>
      <c r="AR82" s="246">
        <f t="shared" si="105"/>
        <v>538246.80000000005</v>
      </c>
      <c r="AS82" s="246">
        <f t="shared" si="105"/>
        <v>0</v>
      </c>
      <c r="AT82" s="246">
        <f t="shared" si="105"/>
        <v>105000</v>
      </c>
      <c r="AU82" s="246">
        <f t="shared" si="105"/>
        <v>100000</v>
      </c>
      <c r="AV82" s="246">
        <f>SUM(AV68:AV81)</f>
        <v>7814381.7999999998</v>
      </c>
      <c r="AX82" s="246">
        <f>SUM(AX68:AX81)</f>
        <v>1821458</v>
      </c>
      <c r="AY82" s="246">
        <f t="shared" ref="AY82:BC82" si="106">SUM(AY68:AY81)</f>
        <v>113713</v>
      </c>
      <c r="AZ82" s="246">
        <f t="shared" si="106"/>
        <v>0</v>
      </c>
      <c r="BA82" s="246">
        <f t="shared" si="106"/>
        <v>0</v>
      </c>
      <c r="BB82" s="246">
        <f t="shared" si="106"/>
        <v>23520</v>
      </c>
      <c r="BC82" s="246">
        <f t="shared" si="106"/>
        <v>25000</v>
      </c>
      <c r="BD82" s="246">
        <f>SUM(BD68:BD81)</f>
        <v>1983691</v>
      </c>
      <c r="BF82" s="246">
        <f>SUM(BF68:BF81)</f>
        <v>660000</v>
      </c>
      <c r="BG82" s="246">
        <f t="shared" ref="BG82:BK82" si="107">SUM(BG68:BG81)</f>
        <v>0</v>
      </c>
      <c r="BH82" s="246">
        <f t="shared" si="107"/>
        <v>0</v>
      </c>
      <c r="BI82" s="246">
        <f t="shared" si="107"/>
        <v>0</v>
      </c>
      <c r="BJ82" s="246">
        <f t="shared" si="107"/>
        <v>747427</v>
      </c>
      <c r="BK82" s="246">
        <f t="shared" si="107"/>
        <v>0</v>
      </c>
      <c r="BL82" s="246">
        <f>SUM(BL68:BL81)</f>
        <v>1407427</v>
      </c>
      <c r="BN82" s="246">
        <f>SUM(BN68:BN81)</f>
        <v>91411341</v>
      </c>
      <c r="BO82" s="246">
        <f t="shared" ref="BO82:BS82" si="108">SUM(BO68:BO81)</f>
        <v>5154174</v>
      </c>
      <c r="BP82" s="246">
        <f t="shared" si="108"/>
        <v>1779607.8</v>
      </c>
      <c r="BQ82" s="246">
        <f t="shared" si="108"/>
        <v>0</v>
      </c>
      <c r="BR82" s="246">
        <f t="shared" si="108"/>
        <v>1020929</v>
      </c>
      <c r="BS82" s="246">
        <f t="shared" si="108"/>
        <v>6175000</v>
      </c>
      <c r="BT82" s="246">
        <f>SUM(BT68:BT81)</f>
        <v>105541051.8</v>
      </c>
    </row>
    <row r="84" spans="1:72" x14ac:dyDescent="0.25">
      <c r="A84" s="204"/>
      <c r="B84" s="247" t="s">
        <v>309</v>
      </c>
      <c r="C84" s="247" t="s">
        <v>310</v>
      </c>
      <c r="D84" s="247" t="s">
        <v>311</v>
      </c>
      <c r="E84" s="248" t="str">
        <f>E67</f>
        <v>Other</v>
      </c>
      <c r="F84" s="247" t="s">
        <v>313</v>
      </c>
      <c r="G84" s="247" t="s">
        <v>314</v>
      </c>
      <c r="H84" s="247" t="s">
        <v>59</v>
      </c>
      <c r="J84" s="247" t="s">
        <v>309</v>
      </c>
      <c r="K84" s="247" t="s">
        <v>310</v>
      </c>
      <c r="L84" s="247" t="s">
        <v>311</v>
      </c>
      <c r="M84" s="248" t="str">
        <f>M67</f>
        <v>Other</v>
      </c>
      <c r="N84" s="247" t="s">
        <v>313</v>
      </c>
      <c r="O84" s="247" t="s">
        <v>314</v>
      </c>
      <c r="P84" s="248" t="str">
        <f>P67</f>
        <v>Cadence</v>
      </c>
      <c r="R84" s="247" t="s">
        <v>309</v>
      </c>
      <c r="S84" s="247" t="s">
        <v>310</v>
      </c>
      <c r="T84" s="247" t="s">
        <v>311</v>
      </c>
      <c r="U84" s="248" t="str">
        <f>U67</f>
        <v>Other</v>
      </c>
      <c r="V84" s="247" t="s">
        <v>313</v>
      </c>
      <c r="W84" s="247" t="s">
        <v>314</v>
      </c>
      <c r="X84" s="248" t="str">
        <f>X67</f>
        <v>St. Rose</v>
      </c>
      <c r="Z84" s="247" t="s">
        <v>309</v>
      </c>
      <c r="AA84" s="247" t="s">
        <v>310</v>
      </c>
      <c r="AB84" s="247" t="s">
        <v>311</v>
      </c>
      <c r="AC84" s="248" t="str">
        <f>AC67</f>
        <v>Other</v>
      </c>
      <c r="AD84" s="247" t="s">
        <v>313</v>
      </c>
      <c r="AE84" s="247" t="s">
        <v>314</v>
      </c>
      <c r="AF84" s="248" t="str">
        <f>AF67</f>
        <v>Inspirada</v>
      </c>
      <c r="AH84" s="247" t="s">
        <v>309</v>
      </c>
      <c r="AI84" s="247" t="s">
        <v>310</v>
      </c>
      <c r="AJ84" s="247" t="s">
        <v>311</v>
      </c>
      <c r="AK84" s="248" t="str">
        <f>AK67</f>
        <v>Other</v>
      </c>
      <c r="AL84" s="247" t="s">
        <v>313</v>
      </c>
      <c r="AM84" s="247" t="s">
        <v>314</v>
      </c>
      <c r="AN84" s="248" t="str">
        <f>AN67</f>
        <v>Sloan</v>
      </c>
      <c r="AP84" s="247" t="s">
        <v>309</v>
      </c>
      <c r="AQ84" s="247" t="s">
        <v>310</v>
      </c>
      <c r="AR84" s="247" t="s">
        <v>311</v>
      </c>
      <c r="AS84" s="248" t="str">
        <f>AS67</f>
        <v>Other</v>
      </c>
      <c r="AT84" s="247" t="s">
        <v>313</v>
      </c>
      <c r="AU84" s="247" t="s">
        <v>314</v>
      </c>
      <c r="AV84" s="248" t="str">
        <f>AV67</f>
        <v>Springs</v>
      </c>
      <c r="AX84" s="247" t="s">
        <v>309</v>
      </c>
      <c r="AY84" s="247" t="s">
        <v>310</v>
      </c>
      <c r="AZ84" s="247" t="s">
        <v>311</v>
      </c>
      <c r="BA84" s="248" t="str">
        <f>BA67</f>
        <v>Other</v>
      </c>
      <c r="BB84" s="247" t="s">
        <v>313</v>
      </c>
      <c r="BC84" s="247" t="s">
        <v>314</v>
      </c>
      <c r="BD84" s="248" t="str">
        <f>BD67</f>
        <v>Virtual</v>
      </c>
      <c r="BF84" s="247" t="s">
        <v>309</v>
      </c>
      <c r="BG84" s="247" t="s">
        <v>310</v>
      </c>
      <c r="BH84" s="247" t="s">
        <v>311</v>
      </c>
      <c r="BI84" s="248" t="str">
        <f>BI67</f>
        <v>Other</v>
      </c>
      <c r="BJ84" s="247" t="s">
        <v>313</v>
      </c>
      <c r="BK84" s="247" t="s">
        <v>314</v>
      </c>
      <c r="BL84" s="248" t="str">
        <f>BL67</f>
        <v>Central</v>
      </c>
      <c r="BN84" s="247" t="s">
        <v>309</v>
      </c>
      <c r="BO84" s="247" t="s">
        <v>310</v>
      </c>
      <c r="BP84" s="247" t="s">
        <v>311</v>
      </c>
      <c r="BQ84" s="248" t="str">
        <f>BQ67</f>
        <v>Other</v>
      </c>
      <c r="BR84" s="247" t="s">
        <v>313</v>
      </c>
      <c r="BS84" s="247" t="s">
        <v>314</v>
      </c>
      <c r="BT84" s="248" t="str">
        <f>BT67</f>
        <v>System</v>
      </c>
    </row>
    <row r="85" spans="1:72" x14ac:dyDescent="0.25">
      <c r="A85" s="200" t="s">
        <v>229</v>
      </c>
      <c r="B85" s="249"/>
      <c r="C85" s="249"/>
      <c r="D85" s="249"/>
      <c r="E85" s="257"/>
      <c r="F85" s="249"/>
      <c r="G85" s="249"/>
      <c r="H85" s="241">
        <f>SUM(B85:G85)</f>
        <v>0</v>
      </c>
      <c r="J85" s="249"/>
      <c r="K85" s="249"/>
      <c r="L85" s="249"/>
      <c r="M85" s="257"/>
      <c r="N85" s="249"/>
      <c r="O85" s="249"/>
      <c r="P85" s="241">
        <f>SUM(J85:O85)</f>
        <v>0</v>
      </c>
      <c r="R85" s="249"/>
      <c r="S85" s="249"/>
      <c r="T85" s="249"/>
      <c r="U85" s="257"/>
      <c r="V85" s="249"/>
      <c r="W85" s="249"/>
      <c r="X85" s="241">
        <f>SUM(R85:W85)</f>
        <v>0</v>
      </c>
      <c r="Z85" s="249"/>
      <c r="AA85" s="249"/>
      <c r="AB85" s="249"/>
      <c r="AC85" s="257"/>
      <c r="AD85" s="249"/>
      <c r="AE85" s="249"/>
      <c r="AF85" s="241">
        <f>SUM(Z85:AE85)</f>
        <v>0</v>
      </c>
      <c r="AH85" s="249"/>
      <c r="AI85" s="249"/>
      <c r="AJ85" s="249"/>
      <c r="AK85" s="257"/>
      <c r="AL85" s="249"/>
      <c r="AM85" s="249"/>
      <c r="AN85" s="241">
        <f>SUM(AH85:AM85)</f>
        <v>0</v>
      </c>
      <c r="AP85" s="249"/>
      <c r="AQ85" s="249"/>
      <c r="AR85" s="249"/>
      <c r="AS85" s="257"/>
      <c r="AT85" s="249"/>
      <c r="AU85" s="249"/>
      <c r="AV85" s="241">
        <f>SUM(AP85:AU85)</f>
        <v>0</v>
      </c>
      <c r="AX85" s="249"/>
      <c r="AY85" s="249"/>
      <c r="AZ85" s="249"/>
      <c r="BA85" s="249"/>
      <c r="BB85" s="249"/>
      <c r="BC85" s="249"/>
      <c r="BD85" s="241">
        <f>SUM(AX85:BC85)</f>
        <v>0</v>
      </c>
      <c r="BF85" s="257"/>
      <c r="BG85" s="257"/>
      <c r="BH85" s="257"/>
      <c r="BI85" s="257">
        <v>0</v>
      </c>
      <c r="BJ85" s="257"/>
      <c r="BK85" s="257"/>
      <c r="BL85" s="241">
        <f>SUM(BF85:BK85)</f>
        <v>0</v>
      </c>
      <c r="BN85" s="241">
        <f>B85+J85+R85+Z85+AH85+AP85+AX85+BF85</f>
        <v>0</v>
      </c>
      <c r="BO85" s="241">
        <f t="shared" ref="BO85:BS87" si="109">C85+K85+S85+AA85+AI85+AQ85+AY85+BG85</f>
        <v>0</v>
      </c>
      <c r="BP85" s="241">
        <f t="shared" si="109"/>
        <v>0</v>
      </c>
      <c r="BQ85" s="241">
        <f t="shared" si="109"/>
        <v>0</v>
      </c>
      <c r="BR85" s="241">
        <f t="shared" si="109"/>
        <v>0</v>
      </c>
      <c r="BS85" s="241">
        <f t="shared" si="109"/>
        <v>0</v>
      </c>
      <c r="BT85" s="241">
        <f>SUM(BN85:BS85)</f>
        <v>0</v>
      </c>
    </row>
    <row r="86" spans="1:72" x14ac:dyDescent="0.25">
      <c r="A86" s="201" t="s">
        <v>230</v>
      </c>
      <c r="B86" s="250"/>
      <c r="C86" s="250"/>
      <c r="D86" s="250"/>
      <c r="E86" s="250"/>
      <c r="F86" s="250"/>
      <c r="G86" s="250"/>
      <c r="H86" s="241">
        <f t="shared" ref="H86:H87" si="110">SUM(B86:G86)</f>
        <v>0</v>
      </c>
      <c r="J86" s="250"/>
      <c r="K86" s="250"/>
      <c r="L86" s="250"/>
      <c r="M86" s="250"/>
      <c r="N86" s="250"/>
      <c r="O86" s="250"/>
      <c r="P86" s="241">
        <f t="shared" ref="P86:P87" si="111">SUM(J86:O86)</f>
        <v>0</v>
      </c>
      <c r="R86" s="250"/>
      <c r="S86" s="250"/>
      <c r="T86" s="250"/>
      <c r="U86" s="250"/>
      <c r="V86" s="250"/>
      <c r="W86" s="250"/>
      <c r="X86" s="241">
        <f t="shared" ref="X86:X87" si="112">SUM(R86:W86)</f>
        <v>0</v>
      </c>
      <c r="Z86" s="250"/>
      <c r="AA86" s="250"/>
      <c r="AB86" s="250"/>
      <c r="AC86" s="250"/>
      <c r="AD86" s="250"/>
      <c r="AE86" s="250"/>
      <c r="AF86" s="241">
        <f t="shared" ref="AF86:AF87" si="113">SUM(Z86:AE86)</f>
        <v>0</v>
      </c>
      <c r="AH86" s="250"/>
      <c r="AI86" s="250"/>
      <c r="AJ86" s="250"/>
      <c r="AK86" s="250"/>
      <c r="AL86" s="250"/>
      <c r="AM86" s="250"/>
      <c r="AN86" s="241">
        <f t="shared" ref="AN86:AN87" si="114">SUM(AH86:AM86)</f>
        <v>0</v>
      </c>
      <c r="AP86" s="250"/>
      <c r="AQ86" s="250"/>
      <c r="AR86" s="250"/>
      <c r="AS86" s="244"/>
      <c r="AT86" s="250"/>
      <c r="AU86" s="250"/>
      <c r="AV86" s="241">
        <f t="shared" ref="AV86:AV87" si="115">SUM(AP86:AU86)</f>
        <v>0</v>
      </c>
      <c r="AX86" s="250"/>
      <c r="AY86" s="250"/>
      <c r="AZ86" s="250"/>
      <c r="BA86" s="250"/>
      <c r="BB86" s="250"/>
      <c r="BC86" s="250"/>
      <c r="BD86" s="241">
        <f t="shared" ref="BD86:BD87" si="116">SUM(AX86:BC86)</f>
        <v>0</v>
      </c>
      <c r="BF86" s="244"/>
      <c r="BG86" s="244"/>
      <c r="BH86" s="244"/>
      <c r="BI86" s="244"/>
      <c r="BJ86" s="244"/>
      <c r="BK86" s="244"/>
      <c r="BL86" s="241">
        <f t="shared" ref="BL86:BL87" si="117">SUM(BF86:BK86)</f>
        <v>0</v>
      </c>
      <c r="BN86" s="241">
        <f t="shared" ref="BN86:BN87" si="118">B86+J86+R86+Z86+AH86+AP86+AX86+BF86</f>
        <v>0</v>
      </c>
      <c r="BO86" s="241">
        <f t="shared" si="109"/>
        <v>0</v>
      </c>
      <c r="BP86" s="241">
        <f t="shared" si="109"/>
        <v>0</v>
      </c>
      <c r="BQ86" s="241">
        <f t="shared" si="109"/>
        <v>0</v>
      </c>
      <c r="BR86" s="241">
        <f t="shared" si="109"/>
        <v>0</v>
      </c>
      <c r="BS86" s="241">
        <f t="shared" si="109"/>
        <v>0</v>
      </c>
      <c r="BT86" s="241">
        <f t="shared" ref="BT86:BT87" si="119">SUM(BN86:BS86)</f>
        <v>0</v>
      </c>
    </row>
    <row r="87" spans="1:72" x14ac:dyDescent="0.25">
      <c r="A87" s="202" t="s">
        <v>231</v>
      </c>
      <c r="B87" s="251"/>
      <c r="C87" s="251"/>
      <c r="D87" s="251"/>
      <c r="E87" s="251"/>
      <c r="F87" s="251"/>
      <c r="G87" s="251"/>
      <c r="H87" s="241">
        <f t="shared" si="110"/>
        <v>0</v>
      </c>
      <c r="J87" s="251"/>
      <c r="K87" s="251"/>
      <c r="L87" s="251"/>
      <c r="M87" s="251"/>
      <c r="N87" s="251"/>
      <c r="O87" s="251"/>
      <c r="P87" s="241">
        <f t="shared" si="111"/>
        <v>0</v>
      </c>
      <c r="R87" s="251"/>
      <c r="S87" s="251"/>
      <c r="T87" s="251"/>
      <c r="U87" s="251"/>
      <c r="V87" s="251"/>
      <c r="W87" s="251"/>
      <c r="X87" s="241">
        <f t="shared" si="112"/>
        <v>0</v>
      </c>
      <c r="Z87" s="251"/>
      <c r="AA87" s="251"/>
      <c r="AB87" s="251"/>
      <c r="AC87" s="251"/>
      <c r="AD87" s="251"/>
      <c r="AE87" s="251"/>
      <c r="AF87" s="241">
        <f t="shared" si="113"/>
        <v>0</v>
      </c>
      <c r="AH87" s="251"/>
      <c r="AI87" s="251"/>
      <c r="AJ87" s="251"/>
      <c r="AK87" s="251"/>
      <c r="AL87" s="251"/>
      <c r="AM87" s="251"/>
      <c r="AN87" s="241">
        <f t="shared" si="114"/>
        <v>0</v>
      </c>
      <c r="AP87" s="251"/>
      <c r="AQ87" s="251"/>
      <c r="AR87" s="251"/>
      <c r="AS87" s="245"/>
      <c r="AT87" s="251"/>
      <c r="AU87" s="251"/>
      <c r="AV87" s="241">
        <f t="shared" si="115"/>
        <v>0</v>
      </c>
      <c r="AX87" s="251"/>
      <c r="AY87" s="251"/>
      <c r="AZ87" s="251"/>
      <c r="BA87" s="251"/>
      <c r="BB87" s="251"/>
      <c r="BC87" s="251"/>
      <c r="BD87" s="241">
        <f t="shared" si="116"/>
        <v>0</v>
      </c>
      <c r="BF87" s="245"/>
      <c r="BG87" s="245"/>
      <c r="BH87" s="245"/>
      <c r="BI87" s="245"/>
      <c r="BJ87" s="245"/>
      <c r="BK87" s="245"/>
      <c r="BL87" s="241">
        <f t="shared" si="117"/>
        <v>0</v>
      </c>
      <c r="BN87" s="241">
        <f t="shared" si="118"/>
        <v>0</v>
      </c>
      <c r="BO87" s="241">
        <f t="shared" si="109"/>
        <v>0</v>
      </c>
      <c r="BP87" s="241">
        <f t="shared" si="109"/>
        <v>0</v>
      </c>
      <c r="BQ87" s="241">
        <f t="shared" si="109"/>
        <v>0</v>
      </c>
      <c r="BR87" s="241">
        <f t="shared" si="109"/>
        <v>0</v>
      </c>
      <c r="BS87" s="241">
        <f t="shared" si="109"/>
        <v>0</v>
      </c>
      <c r="BT87" s="241">
        <f t="shared" si="119"/>
        <v>0</v>
      </c>
    </row>
    <row r="88" spans="1:72" x14ac:dyDescent="0.25">
      <c r="A88" s="204"/>
      <c r="B88" s="252">
        <f>SUM(B85:B87)</f>
        <v>0</v>
      </c>
      <c r="C88" s="252">
        <f t="shared" ref="C88:G88" si="120">SUM(C85:C87)</f>
        <v>0</v>
      </c>
      <c r="D88" s="252">
        <f t="shared" si="120"/>
        <v>0</v>
      </c>
      <c r="E88" s="272">
        <f t="shared" si="120"/>
        <v>0</v>
      </c>
      <c r="F88" s="252">
        <f t="shared" si="120"/>
        <v>0</v>
      </c>
      <c r="G88" s="252">
        <f t="shared" si="120"/>
        <v>0</v>
      </c>
      <c r="H88" s="252">
        <f>SUM(H85:H87)</f>
        <v>0</v>
      </c>
      <c r="J88" s="252">
        <f>SUM(J85:J87)</f>
        <v>0</v>
      </c>
      <c r="K88" s="252">
        <f t="shared" ref="K88:O88" si="121">SUM(K85:K87)</f>
        <v>0</v>
      </c>
      <c r="L88" s="252">
        <f t="shared" si="121"/>
        <v>0</v>
      </c>
      <c r="M88" s="272">
        <f t="shared" si="121"/>
        <v>0</v>
      </c>
      <c r="N88" s="252">
        <f t="shared" si="121"/>
        <v>0</v>
      </c>
      <c r="O88" s="252">
        <f t="shared" si="121"/>
        <v>0</v>
      </c>
      <c r="P88" s="272">
        <f>SUM(P85:P87)</f>
        <v>0</v>
      </c>
      <c r="R88" s="252">
        <f>SUM(R85:R87)</f>
        <v>0</v>
      </c>
      <c r="S88" s="252">
        <f t="shared" ref="S88:W88" si="122">SUM(S85:S87)</f>
        <v>0</v>
      </c>
      <c r="T88" s="252">
        <f t="shared" si="122"/>
        <v>0</v>
      </c>
      <c r="U88" s="272">
        <f t="shared" si="122"/>
        <v>0</v>
      </c>
      <c r="V88" s="272">
        <f t="shared" si="122"/>
        <v>0</v>
      </c>
      <c r="W88" s="272">
        <f t="shared" si="122"/>
        <v>0</v>
      </c>
      <c r="X88" s="272">
        <f>SUM(X85:X87)</f>
        <v>0</v>
      </c>
      <c r="Z88" s="252">
        <f>SUM(Z85:Z87)</f>
        <v>0</v>
      </c>
      <c r="AA88" s="252">
        <f t="shared" ref="AA88:AE88" si="123">SUM(AA85:AA87)</f>
        <v>0</v>
      </c>
      <c r="AB88" s="252">
        <f t="shared" si="123"/>
        <v>0</v>
      </c>
      <c r="AC88" s="272">
        <f t="shared" si="123"/>
        <v>0</v>
      </c>
      <c r="AD88" s="252">
        <f t="shared" si="123"/>
        <v>0</v>
      </c>
      <c r="AE88" s="252">
        <f t="shared" si="123"/>
        <v>0</v>
      </c>
      <c r="AF88" s="252">
        <f>SUM(AF85:AF87)</f>
        <v>0</v>
      </c>
      <c r="AH88" s="252">
        <f>SUM(AH85:AH87)</f>
        <v>0</v>
      </c>
      <c r="AI88" s="252">
        <f t="shared" ref="AI88:AM88" si="124">SUM(AI85:AI87)</f>
        <v>0</v>
      </c>
      <c r="AJ88" s="252">
        <f t="shared" si="124"/>
        <v>0</v>
      </c>
      <c r="AK88" s="252">
        <f t="shared" si="124"/>
        <v>0</v>
      </c>
      <c r="AL88" s="252">
        <f t="shared" si="124"/>
        <v>0</v>
      </c>
      <c r="AM88" s="252">
        <f t="shared" si="124"/>
        <v>0</v>
      </c>
      <c r="AN88" s="252">
        <f>SUM(AN85:AN87)</f>
        <v>0</v>
      </c>
      <c r="AP88" s="252">
        <f>SUM(AP85:AP87)</f>
        <v>0</v>
      </c>
      <c r="AQ88" s="252">
        <f t="shared" ref="AQ88:AU88" si="125">SUM(AQ85:AQ87)</f>
        <v>0</v>
      </c>
      <c r="AR88" s="252">
        <f t="shared" si="125"/>
        <v>0</v>
      </c>
      <c r="AS88" s="272">
        <f t="shared" si="125"/>
        <v>0</v>
      </c>
      <c r="AT88" s="252">
        <f t="shared" si="125"/>
        <v>0</v>
      </c>
      <c r="AU88" s="252">
        <f t="shared" si="125"/>
        <v>0</v>
      </c>
      <c r="AV88" s="252">
        <f>SUM(AV85:AV87)</f>
        <v>0</v>
      </c>
      <c r="AX88" s="252">
        <f>SUM(AX85:AX87)</f>
        <v>0</v>
      </c>
      <c r="AY88" s="252">
        <f t="shared" ref="AY88:BC88" si="126">SUM(AY85:AY87)</f>
        <v>0</v>
      </c>
      <c r="AZ88" s="252">
        <f t="shared" si="126"/>
        <v>0</v>
      </c>
      <c r="BA88" s="252">
        <f t="shared" si="126"/>
        <v>0</v>
      </c>
      <c r="BB88" s="252">
        <f t="shared" si="126"/>
        <v>0</v>
      </c>
      <c r="BC88" s="252">
        <f t="shared" si="126"/>
        <v>0</v>
      </c>
      <c r="BD88" s="252">
        <f>SUM(BD85:BD87)</f>
        <v>0</v>
      </c>
      <c r="BF88" s="272">
        <f>SUM(BF85:BF87)</f>
        <v>0</v>
      </c>
      <c r="BG88" s="272">
        <f t="shared" ref="BG88:BK88" si="127">SUM(BG85:BG87)</f>
        <v>0</v>
      </c>
      <c r="BH88" s="272">
        <f t="shared" si="127"/>
        <v>0</v>
      </c>
      <c r="BI88" s="272">
        <f t="shared" si="127"/>
        <v>0</v>
      </c>
      <c r="BJ88" s="272">
        <f t="shared" si="127"/>
        <v>0</v>
      </c>
      <c r="BK88" s="272">
        <f t="shared" si="127"/>
        <v>0</v>
      </c>
      <c r="BL88" s="252">
        <f>SUM(BL85:BL87)</f>
        <v>0</v>
      </c>
      <c r="BN88" s="272">
        <f>SUM(BN85:BN87)</f>
        <v>0</v>
      </c>
      <c r="BO88" s="272">
        <f t="shared" ref="BO88:BS88" si="128">SUM(BO85:BO87)</f>
        <v>0</v>
      </c>
      <c r="BP88" s="272">
        <f t="shared" si="128"/>
        <v>0</v>
      </c>
      <c r="BQ88" s="272">
        <f t="shared" si="128"/>
        <v>0</v>
      </c>
      <c r="BR88" s="272">
        <f t="shared" si="128"/>
        <v>0</v>
      </c>
      <c r="BS88" s="272">
        <f t="shared" si="128"/>
        <v>0</v>
      </c>
      <c r="BT88" s="252">
        <f>SUM(BT85:BT87)</f>
        <v>0</v>
      </c>
    </row>
    <row r="89" spans="1:72" x14ac:dyDescent="0.25">
      <c r="AS89" s="259"/>
    </row>
    <row r="90" spans="1:72" ht="16.5" thickBot="1" x14ac:dyDescent="0.3"/>
    <row r="91" spans="1:72" x14ac:dyDescent="0.25">
      <c r="A91" s="205" t="s">
        <v>328</v>
      </c>
      <c r="B91" s="253" t="s">
        <v>309</v>
      </c>
      <c r="C91" s="253" t="s">
        <v>310</v>
      </c>
      <c r="D91" s="253" t="s">
        <v>311</v>
      </c>
      <c r="E91" s="254" t="str">
        <f>E84</f>
        <v>Other</v>
      </c>
      <c r="F91" s="253" t="s">
        <v>313</v>
      </c>
      <c r="G91" s="253" t="s">
        <v>314</v>
      </c>
      <c r="H91" s="255" t="s">
        <v>59</v>
      </c>
      <c r="J91" s="253" t="s">
        <v>309</v>
      </c>
      <c r="K91" s="253" t="s">
        <v>310</v>
      </c>
      <c r="L91" s="253" t="s">
        <v>311</v>
      </c>
      <c r="M91" s="254" t="str">
        <f>M84</f>
        <v>Other</v>
      </c>
      <c r="N91" s="253" t="s">
        <v>313</v>
      </c>
      <c r="O91" s="253" t="s">
        <v>314</v>
      </c>
      <c r="P91" s="275" t="str">
        <f>P84</f>
        <v>Cadence</v>
      </c>
      <c r="R91" s="253" t="s">
        <v>309</v>
      </c>
      <c r="S91" s="253" t="s">
        <v>310</v>
      </c>
      <c r="T91" s="253" t="s">
        <v>311</v>
      </c>
      <c r="U91" s="254" t="str">
        <f>U84</f>
        <v>Other</v>
      </c>
      <c r="V91" s="253" t="s">
        <v>313</v>
      </c>
      <c r="W91" s="253" t="s">
        <v>314</v>
      </c>
      <c r="X91" s="275" t="str">
        <f>X84</f>
        <v>St. Rose</v>
      </c>
      <c r="Z91" s="253" t="s">
        <v>309</v>
      </c>
      <c r="AA91" s="253" t="s">
        <v>310</v>
      </c>
      <c r="AB91" s="253" t="s">
        <v>311</v>
      </c>
      <c r="AC91" s="254" t="str">
        <f>AC84</f>
        <v>Other</v>
      </c>
      <c r="AD91" s="253" t="s">
        <v>313</v>
      </c>
      <c r="AE91" s="253" t="s">
        <v>314</v>
      </c>
      <c r="AF91" s="275" t="str">
        <f>AF84</f>
        <v>Inspirada</v>
      </c>
      <c r="AH91" s="253" t="s">
        <v>309</v>
      </c>
      <c r="AI91" s="253" t="s">
        <v>310</v>
      </c>
      <c r="AJ91" s="253" t="s">
        <v>311</v>
      </c>
      <c r="AK91" s="254" t="str">
        <f>AK84</f>
        <v>Other</v>
      </c>
      <c r="AL91" s="253" t="s">
        <v>313</v>
      </c>
      <c r="AM91" s="253" t="s">
        <v>314</v>
      </c>
      <c r="AN91" s="275" t="str">
        <f>AN84</f>
        <v>Sloan</v>
      </c>
      <c r="AP91" s="253" t="s">
        <v>309</v>
      </c>
      <c r="AQ91" s="253" t="s">
        <v>310</v>
      </c>
      <c r="AR91" s="253" t="s">
        <v>311</v>
      </c>
      <c r="AS91" s="254" t="str">
        <f>AS84</f>
        <v>Other</v>
      </c>
      <c r="AT91" s="253" t="s">
        <v>313</v>
      </c>
      <c r="AU91" s="253" t="s">
        <v>314</v>
      </c>
      <c r="AV91" s="275" t="str">
        <f>AV84</f>
        <v>Springs</v>
      </c>
      <c r="AX91" s="253" t="s">
        <v>309</v>
      </c>
      <c r="AY91" s="253" t="s">
        <v>310</v>
      </c>
      <c r="AZ91" s="253" t="s">
        <v>311</v>
      </c>
      <c r="BA91" s="254" t="str">
        <f>BA84</f>
        <v>Other</v>
      </c>
      <c r="BB91" s="253" t="s">
        <v>313</v>
      </c>
      <c r="BC91" s="253" t="s">
        <v>314</v>
      </c>
      <c r="BD91" s="275" t="str">
        <f>BD84</f>
        <v>Virtual</v>
      </c>
      <c r="BF91" s="253" t="s">
        <v>309</v>
      </c>
      <c r="BG91" s="253" t="s">
        <v>310</v>
      </c>
      <c r="BH91" s="253" t="s">
        <v>311</v>
      </c>
      <c r="BI91" s="254" t="str">
        <f>BI84</f>
        <v>Other</v>
      </c>
      <c r="BJ91" s="253" t="s">
        <v>313</v>
      </c>
      <c r="BK91" s="253" t="s">
        <v>314</v>
      </c>
      <c r="BL91" s="275" t="str">
        <f>BL84</f>
        <v>Central</v>
      </c>
      <c r="BN91" s="253" t="s">
        <v>309</v>
      </c>
      <c r="BO91" s="253" t="s">
        <v>310</v>
      </c>
      <c r="BP91" s="253" t="s">
        <v>311</v>
      </c>
      <c r="BQ91" s="254" t="str">
        <f>BQ84</f>
        <v>Other</v>
      </c>
      <c r="BR91" s="253" t="s">
        <v>313</v>
      </c>
      <c r="BS91" s="253" t="s">
        <v>314</v>
      </c>
      <c r="BT91" s="275" t="str">
        <f>BT84</f>
        <v>System</v>
      </c>
    </row>
    <row r="92" spans="1:72" x14ac:dyDescent="0.25">
      <c r="A92" s="206" t="s">
        <v>327</v>
      </c>
      <c r="B92" s="256"/>
      <c r="C92" s="256"/>
      <c r="D92" s="256"/>
      <c r="E92" s="256"/>
      <c r="F92" s="256"/>
      <c r="G92" s="256"/>
      <c r="H92" s="256"/>
      <c r="J92" s="256"/>
      <c r="K92" s="256"/>
      <c r="L92" s="256"/>
      <c r="M92" s="256"/>
      <c r="N92" s="256"/>
      <c r="O92" s="256"/>
      <c r="P92" s="256"/>
      <c r="R92" s="256"/>
      <c r="S92" s="256"/>
      <c r="T92" s="256"/>
      <c r="U92" s="256"/>
      <c r="V92" s="256"/>
      <c r="W92" s="256"/>
      <c r="X92" s="256"/>
      <c r="Z92" s="256"/>
      <c r="AA92" s="256"/>
      <c r="AB92" s="256"/>
      <c r="AC92" s="256"/>
      <c r="AD92" s="256"/>
      <c r="AE92" s="256"/>
      <c r="AF92" s="256"/>
      <c r="AH92" s="256"/>
      <c r="AI92" s="256"/>
      <c r="AJ92" s="256"/>
      <c r="AK92" s="256"/>
      <c r="AL92" s="256"/>
      <c r="AM92" s="256"/>
      <c r="AN92" s="256"/>
      <c r="AP92" s="256"/>
      <c r="AQ92" s="256"/>
      <c r="AR92" s="256"/>
      <c r="AS92" s="256"/>
      <c r="AT92" s="256"/>
      <c r="AU92" s="256"/>
      <c r="AV92" s="256"/>
      <c r="AX92" s="256"/>
      <c r="AY92" s="256"/>
      <c r="AZ92" s="256"/>
      <c r="BA92" s="256"/>
      <c r="BB92" s="256"/>
      <c r="BC92" s="256"/>
      <c r="BD92" s="256"/>
      <c r="BF92" s="256"/>
      <c r="BG92" s="256"/>
      <c r="BH92" s="256"/>
      <c r="BI92" s="256"/>
      <c r="BJ92" s="256"/>
      <c r="BK92" s="256"/>
      <c r="BL92" s="256"/>
      <c r="BN92" s="256"/>
      <c r="BO92" s="256"/>
      <c r="BP92" s="256"/>
      <c r="BQ92" s="256"/>
      <c r="BR92" s="256"/>
      <c r="BS92" s="256"/>
      <c r="BT92" s="256"/>
    </row>
    <row r="93" spans="1:72" x14ac:dyDescent="0.25">
      <c r="A93" s="200" t="s">
        <v>53</v>
      </c>
      <c r="B93" s="241">
        <f>163728*1.03*1.02</f>
        <v>172012.63680000001</v>
      </c>
      <c r="C93" s="257"/>
      <c r="D93" s="257"/>
      <c r="E93" s="257"/>
      <c r="F93" s="257"/>
      <c r="G93" s="257"/>
      <c r="H93" s="241">
        <f>SUM(B93:G93)</f>
        <v>172012.63680000001</v>
      </c>
      <c r="J93" s="257">
        <f>170130*1.03*1.02</f>
        <v>178738.57800000001</v>
      </c>
      <c r="K93" s="257"/>
      <c r="L93" s="257"/>
      <c r="M93" s="257"/>
      <c r="N93" s="257"/>
      <c r="O93" s="257"/>
      <c r="P93" s="241">
        <f>SUM(J93:O93)</f>
        <v>178738.57800000001</v>
      </c>
      <c r="R93" s="257">
        <f>159474*1.03*1.02</f>
        <v>167543.38440000001</v>
      </c>
      <c r="S93" s="257"/>
      <c r="T93" s="257"/>
      <c r="U93" s="257"/>
      <c r="V93" s="257"/>
      <c r="W93" s="257"/>
      <c r="X93" s="241">
        <f>SUM(R93:W93)</f>
        <v>167543.38440000001</v>
      </c>
      <c r="Z93" s="257">
        <f>223452*1.03*1.02</f>
        <v>234758.67120000001</v>
      </c>
      <c r="AA93" s="257"/>
      <c r="AB93" s="257"/>
      <c r="AC93" s="257"/>
      <c r="AD93" s="257"/>
      <c r="AE93" s="257"/>
      <c r="AF93" s="241">
        <f>SUM(Z93:AE93)</f>
        <v>234758.67120000001</v>
      </c>
      <c r="AH93" s="257">
        <f>180277*1.02</f>
        <v>183882.54</v>
      </c>
      <c r="AI93" s="257"/>
      <c r="AJ93" s="257"/>
      <c r="AK93" s="257"/>
      <c r="AL93" s="257"/>
      <c r="AM93" s="257"/>
      <c r="AN93" s="241">
        <f>SUM(AH93:AM93)</f>
        <v>183882.54</v>
      </c>
      <c r="AP93" s="257">
        <f>135000*1.03*1.02</f>
        <v>141831</v>
      </c>
      <c r="AQ93" s="257"/>
      <c r="AR93" s="257"/>
      <c r="AS93" s="257"/>
      <c r="AT93" s="257"/>
      <c r="AU93" s="257"/>
      <c r="AV93" s="241">
        <f>SUM(AP93:AU93)</f>
        <v>141831</v>
      </c>
      <c r="AX93" s="257"/>
      <c r="AY93" s="257"/>
      <c r="AZ93" s="257"/>
      <c r="BA93" s="257"/>
      <c r="BB93" s="257"/>
      <c r="BC93" s="257"/>
      <c r="BD93" s="241">
        <f>SUM(AX93:BC93)</f>
        <v>0</v>
      </c>
      <c r="BF93" s="257"/>
      <c r="BG93" s="257"/>
      <c r="BH93" s="257"/>
      <c r="BI93" s="257"/>
      <c r="BJ93" s="257"/>
      <c r="BK93" s="257"/>
      <c r="BL93" s="241">
        <f>SUM(BF93:BK93)</f>
        <v>0</v>
      </c>
      <c r="BN93" s="241">
        <f>B93+J93+R93+Z93+AH93+AP93+AX93+BF93</f>
        <v>1078766.8104000001</v>
      </c>
      <c r="BO93" s="241">
        <f t="shared" ref="BO93:BS108" si="129">C93+K93+S93+AA93+AI93+AQ93+AY93+BG93</f>
        <v>0</v>
      </c>
      <c r="BP93" s="241">
        <f t="shared" si="129"/>
        <v>0</v>
      </c>
      <c r="BQ93" s="241">
        <f t="shared" si="129"/>
        <v>0</v>
      </c>
      <c r="BR93" s="241">
        <f t="shared" si="129"/>
        <v>0</v>
      </c>
      <c r="BS93" s="241">
        <f t="shared" si="129"/>
        <v>0</v>
      </c>
      <c r="BT93" s="241">
        <f>SUM(BN93:BS93)</f>
        <v>1078766.8104000001</v>
      </c>
    </row>
    <row r="94" spans="1:72" x14ac:dyDescent="0.25">
      <c r="A94" s="201" t="s">
        <v>232</v>
      </c>
      <c r="B94" s="244">
        <f>(102000+102000)*1.01</f>
        <v>206040</v>
      </c>
      <c r="C94" s="244">
        <f>92000*1.01</f>
        <v>92920</v>
      </c>
      <c r="D94" s="244"/>
      <c r="E94" s="244"/>
      <c r="F94" s="244"/>
      <c r="G94" s="244"/>
      <c r="H94" s="241">
        <f t="shared" ref="H94:H115" si="130">SUM(B94:G94)</f>
        <v>298960</v>
      </c>
      <c r="J94" s="244">
        <f>(96050+114500+117100+89715+100000+120000)*1.01</f>
        <v>643738.65</v>
      </c>
      <c r="K94" s="244"/>
      <c r="L94" s="244"/>
      <c r="M94" s="244"/>
      <c r="N94" s="244"/>
      <c r="O94" s="244"/>
      <c r="P94" s="241">
        <f t="shared" ref="P94:P115" si="131">SUM(J94:O94)</f>
        <v>643738.65</v>
      </c>
      <c r="R94" s="244">
        <f>(107000+101000+105000)*1.01</f>
        <v>316130</v>
      </c>
      <c r="S94" s="244"/>
      <c r="T94" s="244"/>
      <c r="U94" s="244"/>
      <c r="V94" s="244"/>
      <c r="W94" s="244"/>
      <c r="X94" s="241">
        <f t="shared" ref="X94:X115" si="132">SUM(R94:W94)</f>
        <v>316130</v>
      </c>
      <c r="Z94" s="244">
        <f>(116390+90640)*1.01</f>
        <v>209100.3</v>
      </c>
      <c r="AA94" s="244"/>
      <c r="AB94" s="244"/>
      <c r="AC94" s="244"/>
      <c r="AD94" s="244"/>
      <c r="AE94" s="244"/>
      <c r="AF94" s="241">
        <f t="shared" ref="AF94:AF115" si="133">SUM(Z94:AE94)</f>
        <v>209100.3</v>
      </c>
      <c r="AH94" s="244">
        <f>(122000+107000+107000+97000)*1.01</f>
        <v>437330</v>
      </c>
      <c r="AI94" s="244"/>
      <c r="AJ94" s="244"/>
      <c r="AK94" s="244"/>
      <c r="AL94" s="244"/>
      <c r="AM94" s="244"/>
      <c r="AN94" s="241">
        <f t="shared" ref="AN94:AN115" si="134">SUM(AH94:AM94)</f>
        <v>437330</v>
      </c>
      <c r="AP94" s="244">
        <v>90000</v>
      </c>
      <c r="AQ94" s="244"/>
      <c r="AR94" s="244"/>
      <c r="AS94" s="244"/>
      <c r="AT94" s="244"/>
      <c r="AU94" s="244"/>
      <c r="AV94" s="241">
        <f t="shared" ref="AV94:AV115" si="135">SUM(AP94:AU94)</f>
        <v>90000</v>
      </c>
      <c r="AX94" s="244"/>
      <c r="AY94" s="244"/>
      <c r="AZ94" s="244"/>
      <c r="BA94" s="244"/>
      <c r="BB94" s="244"/>
      <c r="BC94" s="244"/>
      <c r="BD94" s="241">
        <f t="shared" ref="BD94:BD115" si="136">SUM(AX94:BC94)</f>
        <v>0</v>
      </c>
      <c r="BF94" s="244">
        <f>(92700+1500+1000)*1.01</f>
        <v>96152</v>
      </c>
      <c r="BG94" s="244"/>
      <c r="BH94" s="244"/>
      <c r="BI94" s="244"/>
      <c r="BJ94" s="244"/>
      <c r="BK94" s="244"/>
      <c r="BL94" s="241">
        <f t="shared" ref="BL94:BL115" si="137">SUM(BF94:BK94)</f>
        <v>96152</v>
      </c>
      <c r="BN94" s="241">
        <f t="shared" ref="BN94:BN108" si="138">B94+J94+R94+Z94+AH94+AP94+AX94+BF94</f>
        <v>1998490.95</v>
      </c>
      <c r="BO94" s="241">
        <f t="shared" si="129"/>
        <v>92920</v>
      </c>
      <c r="BP94" s="241">
        <f t="shared" si="129"/>
        <v>0</v>
      </c>
      <c r="BQ94" s="241">
        <f t="shared" si="129"/>
        <v>0</v>
      </c>
      <c r="BR94" s="241">
        <f t="shared" si="129"/>
        <v>0</v>
      </c>
      <c r="BS94" s="241">
        <f t="shared" si="129"/>
        <v>0</v>
      </c>
      <c r="BT94" s="241">
        <f t="shared" ref="BT94:BT96" si="139">SUM(BN94:BS94)</f>
        <v>2091410.95</v>
      </c>
    </row>
    <row r="95" spans="1:72" x14ac:dyDescent="0.25">
      <c r="A95" s="201" t="s">
        <v>195</v>
      </c>
      <c r="B95" s="244"/>
      <c r="C95" s="244"/>
      <c r="D95" s="244"/>
      <c r="E95" s="244"/>
      <c r="F95" s="244"/>
      <c r="G95" s="244"/>
      <c r="H95" s="241">
        <f t="shared" si="130"/>
        <v>0</v>
      </c>
      <c r="J95" s="244">
        <f>(80500+81500+75050+80450+80000)*1.01</f>
        <v>401475</v>
      </c>
      <c r="K95" s="244"/>
      <c r="L95" s="244"/>
      <c r="M95" s="244"/>
      <c r="N95" s="244"/>
      <c r="O95" s="244"/>
      <c r="P95" s="241">
        <f t="shared" si="131"/>
        <v>401475</v>
      </c>
      <c r="R95" s="244">
        <f>87000*1.01</f>
        <v>87870</v>
      </c>
      <c r="S95" s="244"/>
      <c r="T95" s="244"/>
      <c r="U95" s="244"/>
      <c r="V95" s="244"/>
      <c r="W95" s="244"/>
      <c r="X95" s="241">
        <f t="shared" si="132"/>
        <v>87870</v>
      </c>
      <c r="Z95" s="244">
        <f>82400*1.01</f>
        <v>83224</v>
      </c>
      <c r="AA95" s="244"/>
      <c r="AB95" s="244"/>
      <c r="AC95" s="244"/>
      <c r="AD95" s="244"/>
      <c r="AE95" s="244"/>
      <c r="AF95" s="241">
        <f t="shared" si="133"/>
        <v>83224</v>
      </c>
      <c r="AH95" s="244">
        <f>(77500+75000+85000+82000)*1.01</f>
        <v>322695</v>
      </c>
      <c r="AI95" s="244"/>
      <c r="AJ95" s="244"/>
      <c r="AK95" s="244"/>
      <c r="AL95" s="244"/>
      <c r="AM95" s="244"/>
      <c r="AN95" s="241">
        <f t="shared" si="134"/>
        <v>322695</v>
      </c>
      <c r="AP95" s="244"/>
      <c r="AQ95" s="244"/>
      <c r="AR95" s="244"/>
      <c r="AS95" s="244"/>
      <c r="AT95" s="244"/>
      <c r="AU95" s="244"/>
      <c r="AV95" s="241">
        <f t="shared" si="135"/>
        <v>0</v>
      </c>
      <c r="AX95" s="244"/>
      <c r="AY95" s="244"/>
      <c r="AZ95" s="244"/>
      <c r="BA95" s="244"/>
      <c r="BB95" s="244"/>
      <c r="BC95" s="244"/>
      <c r="BD95" s="241">
        <f t="shared" si="136"/>
        <v>0</v>
      </c>
      <c r="BF95" s="244"/>
      <c r="BG95" s="244"/>
      <c r="BH95" s="244"/>
      <c r="BI95" s="244"/>
      <c r="BJ95" s="244"/>
      <c r="BK95" s="244"/>
      <c r="BL95" s="241">
        <f t="shared" si="137"/>
        <v>0</v>
      </c>
      <c r="BN95" s="241">
        <f t="shared" si="138"/>
        <v>895264</v>
      </c>
      <c r="BO95" s="241">
        <f t="shared" si="129"/>
        <v>0</v>
      </c>
      <c r="BP95" s="241">
        <f t="shared" si="129"/>
        <v>0</v>
      </c>
      <c r="BQ95" s="241">
        <f t="shared" si="129"/>
        <v>0</v>
      </c>
      <c r="BR95" s="241">
        <f t="shared" si="129"/>
        <v>0</v>
      </c>
      <c r="BS95" s="241">
        <f t="shared" si="129"/>
        <v>0</v>
      </c>
      <c r="BT95" s="241">
        <f t="shared" si="139"/>
        <v>895264</v>
      </c>
    </row>
    <row r="96" spans="1:72" x14ac:dyDescent="0.25">
      <c r="A96" s="201" t="s">
        <v>233</v>
      </c>
      <c r="B96" s="244"/>
      <c r="C96" s="244"/>
      <c r="D96" s="244"/>
      <c r="E96" s="244"/>
      <c r="F96" s="244"/>
      <c r="G96" s="244"/>
      <c r="H96" s="241">
        <f t="shared" si="130"/>
        <v>0</v>
      </c>
      <c r="J96" s="244">
        <f>76750*1.01</f>
        <v>77517.5</v>
      </c>
      <c r="K96" s="244"/>
      <c r="L96" s="244"/>
      <c r="M96" s="244"/>
      <c r="N96" s="244"/>
      <c r="O96" s="244"/>
      <c r="P96" s="241">
        <f t="shared" si="131"/>
        <v>77517.5</v>
      </c>
      <c r="R96" s="244"/>
      <c r="S96" s="244"/>
      <c r="T96" s="244"/>
      <c r="U96" s="244"/>
      <c r="V96" s="244"/>
      <c r="W96" s="244"/>
      <c r="X96" s="241">
        <f t="shared" si="132"/>
        <v>0</v>
      </c>
      <c r="Z96" s="244"/>
      <c r="AA96" s="244"/>
      <c r="AB96" s="244"/>
      <c r="AC96" s="244"/>
      <c r="AD96" s="244"/>
      <c r="AE96" s="244"/>
      <c r="AF96" s="241">
        <f t="shared" si="133"/>
        <v>0</v>
      </c>
      <c r="AH96" s="242"/>
      <c r="AI96" s="244"/>
      <c r="AJ96" s="244"/>
      <c r="AK96" s="244"/>
      <c r="AL96" s="244"/>
      <c r="AM96" s="244"/>
      <c r="AN96" s="241">
        <f t="shared" si="134"/>
        <v>0</v>
      </c>
      <c r="AP96" s="244"/>
      <c r="AQ96" s="244"/>
      <c r="AR96" s="244"/>
      <c r="AS96" s="244"/>
      <c r="AT96" s="244"/>
      <c r="AU96" s="244"/>
      <c r="AV96" s="241">
        <f t="shared" si="135"/>
        <v>0</v>
      </c>
      <c r="AX96" s="244"/>
      <c r="AY96" s="244"/>
      <c r="AZ96" s="244"/>
      <c r="BA96" s="244"/>
      <c r="BB96" s="244"/>
      <c r="BC96" s="244"/>
      <c r="BD96" s="241">
        <f t="shared" si="136"/>
        <v>0</v>
      </c>
      <c r="BF96" s="244"/>
      <c r="BG96" s="244"/>
      <c r="BH96" s="244"/>
      <c r="BI96" s="244"/>
      <c r="BJ96" s="244"/>
      <c r="BK96" s="244"/>
      <c r="BL96" s="241">
        <f t="shared" si="137"/>
        <v>0</v>
      </c>
      <c r="BN96" s="241">
        <f t="shared" si="138"/>
        <v>77517.5</v>
      </c>
      <c r="BO96" s="241">
        <f t="shared" si="129"/>
        <v>0</v>
      </c>
      <c r="BP96" s="241">
        <f t="shared" si="129"/>
        <v>0</v>
      </c>
      <c r="BQ96" s="241">
        <f t="shared" si="129"/>
        <v>0</v>
      </c>
      <c r="BR96" s="241">
        <f t="shared" si="129"/>
        <v>0</v>
      </c>
      <c r="BS96" s="241">
        <f t="shared" si="129"/>
        <v>0</v>
      </c>
      <c r="BT96" s="241">
        <f t="shared" si="139"/>
        <v>77517.5</v>
      </c>
    </row>
    <row r="97" spans="1:72" x14ac:dyDescent="0.25">
      <c r="A97" s="201" t="s">
        <v>234</v>
      </c>
      <c r="B97" s="244"/>
      <c r="C97" s="244"/>
      <c r="D97" s="244"/>
      <c r="E97" s="244"/>
      <c r="F97" s="244"/>
      <c r="G97" s="244"/>
      <c r="H97" s="241">
        <f t="shared" si="130"/>
        <v>0</v>
      </c>
      <c r="J97" s="244">
        <f>(87000+74160+65000+75000)*1.01</f>
        <v>304171.59999999998</v>
      </c>
      <c r="K97" s="244"/>
      <c r="L97" s="244"/>
      <c r="M97" s="244"/>
      <c r="N97" s="244"/>
      <c r="O97" s="244"/>
      <c r="P97" s="241">
        <f t="shared" si="131"/>
        <v>304171.59999999998</v>
      </c>
      <c r="R97" s="244"/>
      <c r="S97" s="244"/>
      <c r="T97" s="244"/>
      <c r="U97" s="244"/>
      <c r="V97" s="244"/>
      <c r="W97" s="244"/>
      <c r="X97" s="241">
        <f t="shared" si="132"/>
        <v>0</v>
      </c>
      <c r="Z97" s="244"/>
      <c r="AA97" s="244"/>
      <c r="AB97" s="244"/>
      <c r="AC97" s="244"/>
      <c r="AD97" s="244"/>
      <c r="AE97" s="244"/>
      <c r="AF97" s="241">
        <f t="shared" si="133"/>
        <v>0</v>
      </c>
      <c r="AH97" s="244">
        <f>(75000+85500+75000)*1.01</f>
        <v>237855</v>
      </c>
      <c r="AI97" s="244"/>
      <c r="AJ97" s="244"/>
      <c r="AK97" s="244"/>
      <c r="AL97" s="244"/>
      <c r="AM97" s="244"/>
      <c r="AN97" s="241">
        <f t="shared" si="134"/>
        <v>237855</v>
      </c>
      <c r="AP97" s="244"/>
      <c r="AQ97" s="244"/>
      <c r="AR97" s="244"/>
      <c r="AS97" s="244"/>
      <c r="AT97" s="244"/>
      <c r="AU97" s="244"/>
      <c r="AV97" s="241">
        <f t="shared" si="135"/>
        <v>0</v>
      </c>
      <c r="AX97" s="244"/>
      <c r="AY97" s="244"/>
      <c r="AZ97" s="244"/>
      <c r="BA97" s="244"/>
      <c r="BB97" s="244"/>
      <c r="BC97" s="244"/>
      <c r="BD97" s="241">
        <f t="shared" si="136"/>
        <v>0</v>
      </c>
      <c r="BF97" s="244"/>
      <c r="BG97" s="244"/>
      <c r="BH97" s="244"/>
      <c r="BI97" s="244"/>
      <c r="BJ97" s="244"/>
      <c r="BK97" s="244"/>
      <c r="BL97" s="241">
        <f>SUM(BF97:BK97)</f>
        <v>0</v>
      </c>
      <c r="BN97" s="241">
        <f t="shared" si="138"/>
        <v>542026.6</v>
      </c>
      <c r="BO97" s="241">
        <f t="shared" si="129"/>
        <v>0</v>
      </c>
      <c r="BP97" s="241">
        <f t="shared" si="129"/>
        <v>0</v>
      </c>
      <c r="BQ97" s="241">
        <f t="shared" si="129"/>
        <v>0</v>
      </c>
      <c r="BR97" s="241">
        <f t="shared" si="129"/>
        <v>0</v>
      </c>
      <c r="BS97" s="241">
        <f t="shared" si="129"/>
        <v>0</v>
      </c>
      <c r="BT97" s="241">
        <f>SUM(BN97:BS97)</f>
        <v>542026.6</v>
      </c>
    </row>
    <row r="98" spans="1:72" x14ac:dyDescent="0.25">
      <c r="A98" s="201" t="s">
        <v>235</v>
      </c>
      <c r="B98" s="244">
        <f>(72500+66500)*1.01</f>
        <v>140390</v>
      </c>
      <c r="C98" s="244"/>
      <c r="D98" s="244"/>
      <c r="E98" s="244"/>
      <c r="F98" s="244"/>
      <c r="G98" s="244"/>
      <c r="H98" s="241">
        <f t="shared" si="130"/>
        <v>140390</v>
      </c>
      <c r="J98" s="244">
        <f>(((58960+58700+67825)+(63650+58700))+10000)*1.01</f>
        <v>321013.34999999998</v>
      </c>
      <c r="K98" s="244"/>
      <c r="L98" s="244"/>
      <c r="M98" s="244"/>
      <c r="N98" s="244"/>
      <c r="O98" s="244"/>
      <c r="P98" s="241">
        <f t="shared" si="131"/>
        <v>321013.34999999998</v>
      </c>
      <c r="R98" s="244">
        <f>(70000+56000)*1.01</f>
        <v>127260</v>
      </c>
      <c r="S98" s="244"/>
      <c r="T98" s="244"/>
      <c r="U98" s="244"/>
      <c r="V98" s="244"/>
      <c r="W98" s="244"/>
      <c r="X98" s="241">
        <f t="shared" si="132"/>
        <v>127260</v>
      </c>
      <c r="Z98" s="244">
        <f>(65976+46350)*1.01</f>
        <v>113449.26</v>
      </c>
      <c r="AA98" s="244"/>
      <c r="AB98" s="244"/>
      <c r="AC98" s="244"/>
      <c r="AD98" s="244"/>
      <c r="AE98" s="244"/>
      <c r="AF98" s="241">
        <f t="shared" si="133"/>
        <v>113449.26</v>
      </c>
      <c r="AH98" s="244">
        <f>((63000+59000+62500)*1.01)+(22.75*8*200)</f>
        <v>222745</v>
      </c>
      <c r="AI98" s="244"/>
      <c r="AJ98" s="244"/>
      <c r="AK98" s="244"/>
      <c r="AL98" s="244"/>
      <c r="AM98" s="244"/>
      <c r="AN98" s="241">
        <f t="shared" si="134"/>
        <v>222745</v>
      </c>
      <c r="AP98" s="244">
        <f>(57000*1.01)+(22*8*200)</f>
        <v>92770</v>
      </c>
      <c r="AQ98" s="244"/>
      <c r="AR98" s="244"/>
      <c r="AS98" s="244"/>
      <c r="AT98" s="244"/>
      <c r="AU98" s="244"/>
      <c r="AV98" s="241">
        <f t="shared" si="135"/>
        <v>92770</v>
      </c>
      <c r="AX98" s="244"/>
      <c r="AY98" s="244"/>
      <c r="AZ98" s="244"/>
      <c r="BA98" s="244"/>
      <c r="BB98" s="244"/>
      <c r="BC98" s="244"/>
      <c r="BD98" s="241">
        <f t="shared" si="136"/>
        <v>0</v>
      </c>
      <c r="BF98" s="244">
        <f>(92700+1500+1000)*1.01</f>
        <v>96152</v>
      </c>
      <c r="BG98" s="244"/>
      <c r="BH98" s="244"/>
      <c r="BI98" s="244"/>
      <c r="BJ98" s="244"/>
      <c r="BK98" s="244"/>
      <c r="BL98" s="241">
        <f t="shared" si="137"/>
        <v>96152</v>
      </c>
      <c r="BN98" s="241">
        <f t="shared" si="138"/>
        <v>1113779.6099999999</v>
      </c>
      <c r="BO98" s="241">
        <f t="shared" si="129"/>
        <v>0</v>
      </c>
      <c r="BP98" s="241">
        <f t="shared" si="129"/>
        <v>0</v>
      </c>
      <c r="BQ98" s="241">
        <f t="shared" si="129"/>
        <v>0</v>
      </c>
      <c r="BR98" s="241">
        <f t="shared" si="129"/>
        <v>0</v>
      </c>
      <c r="BS98" s="241">
        <f t="shared" si="129"/>
        <v>0</v>
      </c>
      <c r="BT98" s="241">
        <f t="shared" ref="BT98:BT103" si="140">SUM(BN98:BS98)</f>
        <v>1113779.6099999999</v>
      </c>
    </row>
    <row r="99" spans="1:72" x14ac:dyDescent="0.25">
      <c r="A99" s="201" t="s">
        <v>236</v>
      </c>
      <c r="B99" s="244">
        <f>(21.25*8*190)*(B48+B49)</f>
        <v>96900</v>
      </c>
      <c r="C99" s="244"/>
      <c r="D99" s="244"/>
      <c r="E99" s="244"/>
      <c r="F99" s="244"/>
      <c r="G99" s="244"/>
      <c r="H99" s="241">
        <f t="shared" si="130"/>
        <v>96900</v>
      </c>
      <c r="J99" s="244">
        <f>(21*8*190)*(J48+J49)</f>
        <v>191520</v>
      </c>
      <c r="K99" s="244"/>
      <c r="L99" s="244"/>
      <c r="M99" s="244"/>
      <c r="N99" s="244"/>
      <c r="O99" s="244"/>
      <c r="P99" s="241">
        <f t="shared" si="131"/>
        <v>191520</v>
      </c>
      <c r="R99" s="244">
        <f>(22.25*8*190)*(R49+R48)</f>
        <v>101460</v>
      </c>
      <c r="S99" s="244"/>
      <c r="T99" s="244"/>
      <c r="U99" s="244"/>
      <c r="V99" s="244"/>
      <c r="W99" s="244"/>
      <c r="X99" s="241">
        <f t="shared" si="132"/>
        <v>101460</v>
      </c>
      <c r="Z99" s="244">
        <f>(46000*1.01)+(18.75*7.5*185)</f>
        <v>72475.625</v>
      </c>
      <c r="AA99" s="244"/>
      <c r="AB99" s="244"/>
      <c r="AC99" s="244"/>
      <c r="AD99" s="244"/>
      <c r="AE99" s="244"/>
      <c r="AF99" s="241">
        <f t="shared" si="133"/>
        <v>72475.625</v>
      </c>
      <c r="AH99" s="244">
        <f>(21.75*8*190)*(AH49+AH48)</f>
        <v>198360</v>
      </c>
      <c r="AI99" s="244"/>
      <c r="AJ99" s="244"/>
      <c r="AK99" s="244"/>
      <c r="AL99" s="244"/>
      <c r="AM99" s="244"/>
      <c r="AN99" s="241">
        <f t="shared" si="134"/>
        <v>198360</v>
      </c>
      <c r="AP99" s="244">
        <f>((21.25*8*190)*(AP48+AP49))</f>
        <v>32300</v>
      </c>
      <c r="AQ99" s="244"/>
      <c r="AR99" s="244"/>
      <c r="AS99" s="244"/>
      <c r="AT99" s="244"/>
      <c r="AU99" s="244"/>
      <c r="AV99" s="241">
        <f t="shared" si="135"/>
        <v>32300</v>
      </c>
      <c r="AX99" s="244"/>
      <c r="AY99" s="244"/>
      <c r="AZ99" s="244"/>
      <c r="BA99" s="244"/>
      <c r="BB99" s="244"/>
      <c r="BC99" s="244"/>
      <c r="BD99" s="241">
        <f t="shared" si="136"/>
        <v>0</v>
      </c>
      <c r="BF99" s="244">
        <f>(46500+550)*1.01</f>
        <v>47520.5</v>
      </c>
      <c r="BG99" s="244"/>
      <c r="BH99" s="244"/>
      <c r="BI99" s="244"/>
      <c r="BJ99" s="244"/>
      <c r="BK99" s="244"/>
      <c r="BL99" s="241">
        <f t="shared" si="137"/>
        <v>47520.5</v>
      </c>
      <c r="BN99" s="241">
        <f t="shared" si="138"/>
        <v>740536.125</v>
      </c>
      <c r="BO99" s="241">
        <f t="shared" si="129"/>
        <v>0</v>
      </c>
      <c r="BP99" s="241">
        <f t="shared" si="129"/>
        <v>0</v>
      </c>
      <c r="BQ99" s="241">
        <f t="shared" si="129"/>
        <v>0</v>
      </c>
      <c r="BR99" s="241">
        <f t="shared" si="129"/>
        <v>0</v>
      </c>
      <c r="BS99" s="241">
        <f t="shared" si="129"/>
        <v>0</v>
      </c>
      <c r="BT99" s="241">
        <f t="shared" si="140"/>
        <v>740536.125</v>
      </c>
    </row>
    <row r="100" spans="1:72" x14ac:dyDescent="0.25">
      <c r="A100" s="201" t="s">
        <v>324</v>
      </c>
      <c r="B100" s="244"/>
      <c r="C100" s="244"/>
      <c r="D100" s="244"/>
      <c r="E100" s="244"/>
      <c r="F100" s="244"/>
      <c r="G100" s="244"/>
      <c r="H100" s="241">
        <f t="shared" si="130"/>
        <v>0</v>
      </c>
      <c r="J100" s="244">
        <f>43900*1.01</f>
        <v>44339</v>
      </c>
      <c r="K100" s="244"/>
      <c r="L100" s="244"/>
      <c r="M100" s="244"/>
      <c r="N100" s="244"/>
      <c r="O100" s="244"/>
      <c r="P100" s="241">
        <f t="shared" si="131"/>
        <v>44339</v>
      </c>
      <c r="R100" s="244">
        <f>26.25*7.5*215</f>
        <v>42328.125</v>
      </c>
      <c r="S100" s="244"/>
      <c r="T100" s="244"/>
      <c r="U100" s="244"/>
      <c r="V100" s="244"/>
      <c r="W100" s="244"/>
      <c r="X100" s="241">
        <f t="shared" si="132"/>
        <v>42328.125</v>
      </c>
      <c r="Z100" s="244"/>
      <c r="AA100" s="244"/>
      <c r="AB100" s="244"/>
      <c r="AC100" s="244"/>
      <c r="AD100" s="244"/>
      <c r="AE100" s="244"/>
      <c r="AF100" s="241">
        <f t="shared" si="133"/>
        <v>0</v>
      </c>
      <c r="AH100" s="244">
        <f>50500*1.01</f>
        <v>51005</v>
      </c>
      <c r="AI100" s="244"/>
      <c r="AJ100" s="244"/>
      <c r="AK100" s="244"/>
      <c r="AL100" s="244"/>
      <c r="AM100" s="244"/>
      <c r="AN100" s="241">
        <f t="shared" si="134"/>
        <v>51005</v>
      </c>
      <c r="AP100" s="244"/>
      <c r="AQ100" s="244"/>
      <c r="AR100" s="244"/>
      <c r="AS100" s="244"/>
      <c r="AT100" s="244"/>
      <c r="AU100" s="244"/>
      <c r="AV100" s="241">
        <f t="shared" si="135"/>
        <v>0</v>
      </c>
      <c r="AX100" s="244"/>
      <c r="AY100" s="244"/>
      <c r="AZ100" s="244"/>
      <c r="BA100" s="244"/>
      <c r="BB100" s="244"/>
      <c r="BC100" s="244"/>
      <c r="BD100" s="241">
        <f t="shared" si="136"/>
        <v>0</v>
      </c>
      <c r="BF100" s="244"/>
      <c r="BG100" s="244"/>
      <c r="BH100" s="244"/>
      <c r="BI100" s="244"/>
      <c r="BJ100" s="244"/>
      <c r="BK100" s="244"/>
      <c r="BL100" s="241">
        <f t="shared" si="137"/>
        <v>0</v>
      </c>
      <c r="BN100" s="241">
        <f t="shared" si="138"/>
        <v>137672.125</v>
      </c>
      <c r="BO100" s="241">
        <f t="shared" si="129"/>
        <v>0</v>
      </c>
      <c r="BP100" s="241">
        <f t="shared" si="129"/>
        <v>0</v>
      </c>
      <c r="BQ100" s="241">
        <f t="shared" si="129"/>
        <v>0</v>
      </c>
      <c r="BR100" s="241">
        <f t="shared" si="129"/>
        <v>0</v>
      </c>
      <c r="BS100" s="241">
        <f t="shared" si="129"/>
        <v>0</v>
      </c>
      <c r="BT100" s="241">
        <f t="shared" si="140"/>
        <v>137672.125</v>
      </c>
    </row>
    <row r="101" spans="1:72" x14ac:dyDescent="0.25">
      <c r="A101" s="201" t="s">
        <v>237</v>
      </c>
      <c r="B101" s="244">
        <f>(25.25*8*240)*B51</f>
        <v>96960</v>
      </c>
      <c r="C101" s="244"/>
      <c r="D101" s="244"/>
      <c r="E101" s="244"/>
      <c r="F101" s="244"/>
      <c r="G101" s="244"/>
      <c r="H101" s="241">
        <f t="shared" si="130"/>
        <v>96960</v>
      </c>
      <c r="J101" s="244">
        <f>((22*8*240)*J51-1)+((58700+47000)*1.01)</f>
        <v>444676</v>
      </c>
      <c r="K101" s="244"/>
      <c r="L101" s="244"/>
      <c r="M101" s="244"/>
      <c r="N101" s="244"/>
      <c r="O101" s="244"/>
      <c r="P101" s="241">
        <f t="shared" si="131"/>
        <v>444676</v>
      </c>
      <c r="R101" s="244">
        <f>(22.25*8*240)*R51</f>
        <v>128160</v>
      </c>
      <c r="S101" s="244"/>
      <c r="T101" s="244"/>
      <c r="U101" s="244"/>
      <c r="V101" s="244"/>
      <c r="W101" s="244"/>
      <c r="X101" s="241">
        <f t="shared" si="132"/>
        <v>128160</v>
      </c>
      <c r="Z101" s="244">
        <f>(23.25*8*240)*Z51</f>
        <v>133920</v>
      </c>
      <c r="AA101" s="244"/>
      <c r="AB101" s="244"/>
      <c r="AC101" s="244"/>
      <c r="AD101" s="244"/>
      <c r="AE101" s="244"/>
      <c r="AF101" s="241">
        <f t="shared" si="133"/>
        <v>133920</v>
      </c>
      <c r="AH101" s="244">
        <f>(21.25*8*240)*AH51-96</f>
        <v>326304</v>
      </c>
      <c r="AI101" s="244"/>
      <c r="AJ101" s="244"/>
      <c r="AK101" s="244"/>
      <c r="AL101" s="244"/>
      <c r="AM101" s="244"/>
      <c r="AN101" s="241">
        <f t="shared" si="134"/>
        <v>326304</v>
      </c>
      <c r="AP101" s="244">
        <f>(22.25*8*200)+50000</f>
        <v>85600</v>
      </c>
      <c r="AQ101" s="244"/>
      <c r="AR101" s="244"/>
      <c r="AS101" s="244"/>
      <c r="AU101" s="244"/>
      <c r="AV101" s="241">
        <f t="shared" si="135"/>
        <v>85600</v>
      </c>
      <c r="AX101" s="244"/>
      <c r="AY101" s="244"/>
      <c r="AZ101" s="244"/>
      <c r="BA101" s="244"/>
      <c r="BB101" s="244"/>
      <c r="BC101" s="244"/>
      <c r="BD101" s="241">
        <f t="shared" si="136"/>
        <v>0</v>
      </c>
      <c r="BF101" s="244"/>
      <c r="BG101" s="244"/>
      <c r="BH101" s="244"/>
      <c r="BI101" s="244"/>
      <c r="BJ101" s="244"/>
      <c r="BK101" s="244"/>
      <c r="BL101" s="241">
        <f t="shared" si="137"/>
        <v>0</v>
      </c>
      <c r="BN101" s="241">
        <f t="shared" si="138"/>
        <v>1215620</v>
      </c>
      <c r="BO101" s="241">
        <f t="shared" si="129"/>
        <v>0</v>
      </c>
      <c r="BP101" s="241">
        <f t="shared" si="129"/>
        <v>0</v>
      </c>
      <c r="BQ101" s="241">
        <f t="shared" si="129"/>
        <v>0</v>
      </c>
      <c r="BR101" s="241">
        <f t="shared" si="129"/>
        <v>0</v>
      </c>
      <c r="BS101" s="241">
        <f t="shared" si="129"/>
        <v>0</v>
      </c>
      <c r="BT101" s="241">
        <f t="shared" si="140"/>
        <v>1215620</v>
      </c>
    </row>
    <row r="102" spans="1:72" x14ac:dyDescent="0.25">
      <c r="A102" s="201" t="s">
        <v>238</v>
      </c>
      <c r="B102" s="244"/>
      <c r="C102" s="244"/>
      <c r="D102" s="244">
        <f>(20.25*8*180)+(23.25*8*180)</f>
        <v>62640</v>
      </c>
      <c r="E102" s="244"/>
      <c r="F102" s="244"/>
      <c r="G102" s="244"/>
      <c r="H102" s="241">
        <f t="shared" si="130"/>
        <v>62640</v>
      </c>
      <c r="J102" s="244"/>
      <c r="K102" s="244"/>
      <c r="L102" s="244">
        <f>(21*6*180*3)+(22*8*180*3)</f>
        <v>163080</v>
      </c>
      <c r="M102" s="244"/>
      <c r="N102" s="244"/>
      <c r="O102" s="244"/>
      <c r="P102" s="241">
        <f t="shared" si="131"/>
        <v>163080</v>
      </c>
      <c r="R102" s="244"/>
      <c r="S102" s="244"/>
      <c r="T102" s="244">
        <f>(20.25*7.5*180)+41200</f>
        <v>68537.5</v>
      </c>
      <c r="U102" s="244"/>
      <c r="V102" s="244"/>
      <c r="W102" s="244"/>
      <c r="X102" s="241">
        <f t="shared" si="132"/>
        <v>68537.5</v>
      </c>
      <c r="Z102" s="244"/>
      <c r="AA102" s="244"/>
      <c r="AB102" s="244">
        <f>(20*8*180)+(23*8*180)</f>
        <v>61920</v>
      </c>
      <c r="AC102" s="244"/>
      <c r="AD102" s="244"/>
      <c r="AE102" s="244"/>
      <c r="AF102" s="241">
        <f t="shared" si="133"/>
        <v>61920</v>
      </c>
      <c r="AH102" s="244"/>
      <c r="AI102" s="244"/>
      <c r="AJ102" s="244">
        <f>(20.25*6*180*3)+(21.25*8*180)</f>
        <v>96210</v>
      </c>
      <c r="AK102" s="244"/>
      <c r="AL102" s="244"/>
      <c r="AM102" s="244"/>
      <c r="AN102" s="241">
        <f t="shared" si="134"/>
        <v>96210</v>
      </c>
      <c r="AP102" s="244"/>
      <c r="AQ102" s="244"/>
      <c r="AR102" s="244">
        <f>(20.25*8*180)</f>
        <v>29160</v>
      </c>
      <c r="AS102" s="244"/>
      <c r="AT102" s="244"/>
      <c r="AU102" s="244"/>
      <c r="AV102" s="241">
        <f t="shared" si="135"/>
        <v>29160</v>
      </c>
      <c r="AX102" s="244"/>
      <c r="AY102" s="244"/>
      <c r="AZ102" s="244"/>
      <c r="BA102" s="244"/>
      <c r="BB102" s="244"/>
      <c r="BC102" s="244"/>
      <c r="BD102" s="241">
        <f t="shared" si="136"/>
        <v>0</v>
      </c>
      <c r="BF102" s="244"/>
      <c r="BG102" s="244"/>
      <c r="BH102" s="244">
        <f>(27.25*5*190)</f>
        <v>25887.5</v>
      </c>
      <c r="BI102" s="244"/>
      <c r="BJ102" s="244"/>
      <c r="BK102" s="244"/>
      <c r="BL102" s="241">
        <f t="shared" si="137"/>
        <v>25887.5</v>
      </c>
      <c r="BN102" s="241">
        <f t="shared" si="138"/>
        <v>0</v>
      </c>
      <c r="BO102" s="241">
        <f t="shared" si="129"/>
        <v>0</v>
      </c>
      <c r="BP102" s="241">
        <f t="shared" si="129"/>
        <v>507435</v>
      </c>
      <c r="BQ102" s="241">
        <f t="shared" si="129"/>
        <v>0</v>
      </c>
      <c r="BR102" s="241">
        <f t="shared" si="129"/>
        <v>0</v>
      </c>
      <c r="BS102" s="241">
        <f t="shared" si="129"/>
        <v>0</v>
      </c>
      <c r="BT102" s="241">
        <f t="shared" si="140"/>
        <v>507435</v>
      </c>
    </row>
    <row r="103" spans="1:72" x14ac:dyDescent="0.25">
      <c r="A103" s="201" t="s">
        <v>239</v>
      </c>
      <c r="B103" s="244"/>
      <c r="C103" s="244"/>
      <c r="D103" s="244"/>
      <c r="E103" s="244"/>
      <c r="F103" s="244"/>
      <c r="G103" s="244"/>
      <c r="H103" s="241">
        <f t="shared" si="130"/>
        <v>0</v>
      </c>
      <c r="J103" s="244"/>
      <c r="K103" s="244"/>
      <c r="L103" s="244"/>
      <c r="M103" s="244"/>
      <c r="N103" s="244"/>
      <c r="O103" s="244"/>
      <c r="P103" s="241">
        <f t="shared" si="131"/>
        <v>0</v>
      </c>
      <c r="R103" s="244"/>
      <c r="S103" s="244"/>
      <c r="T103" s="244"/>
      <c r="U103" s="244"/>
      <c r="V103" s="244"/>
      <c r="W103" s="244"/>
      <c r="X103" s="241">
        <f t="shared" si="132"/>
        <v>0</v>
      </c>
      <c r="Z103" s="244"/>
      <c r="AA103" s="244">
        <f>25750*1.01</f>
        <v>26007.5</v>
      </c>
      <c r="AB103" s="244"/>
      <c r="AC103" s="244"/>
      <c r="AD103" s="244"/>
      <c r="AE103" s="244"/>
      <c r="AF103" s="241">
        <f t="shared" si="133"/>
        <v>26007.5</v>
      </c>
      <c r="AH103" s="244">
        <v>49440</v>
      </c>
      <c r="AI103" s="244"/>
      <c r="AJ103" s="244"/>
      <c r="AK103" s="244"/>
      <c r="AL103" s="244"/>
      <c r="AM103" s="244"/>
      <c r="AN103" s="241">
        <f t="shared" si="134"/>
        <v>49440</v>
      </c>
      <c r="AP103" s="244"/>
      <c r="AQ103" s="244"/>
      <c r="AR103" s="244"/>
      <c r="AS103" s="244"/>
      <c r="AT103" s="244"/>
      <c r="AU103" s="244"/>
      <c r="AV103" s="241">
        <f t="shared" si="135"/>
        <v>0</v>
      </c>
      <c r="AX103" s="244"/>
      <c r="AY103" s="244"/>
      <c r="AZ103" s="244"/>
      <c r="BA103" s="244"/>
      <c r="BB103" s="244"/>
      <c r="BC103" s="244"/>
      <c r="BD103" s="241">
        <f t="shared" si="136"/>
        <v>0</v>
      </c>
      <c r="BF103" s="244"/>
      <c r="BG103" s="244"/>
      <c r="BH103" s="244"/>
      <c r="BI103" s="244"/>
      <c r="BJ103" s="244"/>
      <c r="BK103" s="244"/>
      <c r="BL103" s="241">
        <f t="shared" si="137"/>
        <v>0</v>
      </c>
      <c r="BN103" s="241">
        <f t="shared" si="138"/>
        <v>49440</v>
      </c>
      <c r="BO103" s="241">
        <f t="shared" si="129"/>
        <v>26007.5</v>
      </c>
      <c r="BP103" s="241">
        <f t="shared" si="129"/>
        <v>0</v>
      </c>
      <c r="BQ103" s="241">
        <f t="shared" si="129"/>
        <v>0</v>
      </c>
      <c r="BR103" s="241">
        <f t="shared" si="129"/>
        <v>0</v>
      </c>
      <c r="BS103" s="241">
        <f t="shared" si="129"/>
        <v>0</v>
      </c>
      <c r="BT103" s="241">
        <f t="shared" si="140"/>
        <v>75447.5</v>
      </c>
    </row>
    <row r="104" spans="1:72" x14ac:dyDescent="0.25">
      <c r="A104" s="201" t="s">
        <v>204</v>
      </c>
      <c r="B104" s="244"/>
      <c r="C104" s="244">
        <f>79250*1.01</f>
        <v>80042.5</v>
      </c>
      <c r="D104" s="244"/>
      <c r="E104" s="244"/>
      <c r="F104" s="244"/>
      <c r="G104" s="244"/>
      <c r="H104" s="241">
        <f>SUM(B104:G104)</f>
        <v>80042.5</v>
      </c>
      <c r="J104" s="242"/>
      <c r="K104" s="242">
        <f>92700*1.01</f>
        <v>93627</v>
      </c>
      <c r="L104" s="244"/>
      <c r="M104" s="244"/>
      <c r="N104" s="244"/>
      <c r="O104" s="244"/>
      <c r="P104" s="241">
        <f>SUM(J104:O104)</f>
        <v>93627</v>
      </c>
      <c r="R104" s="242"/>
      <c r="S104" s="242">
        <f>84400*1.01</f>
        <v>85244</v>
      </c>
      <c r="T104" s="244"/>
      <c r="U104" s="244"/>
      <c r="V104" s="244"/>
      <c r="W104" s="244"/>
      <c r="X104" s="241">
        <f>SUM(R104:W104)</f>
        <v>85244</v>
      </c>
      <c r="Z104" s="242"/>
      <c r="AA104" s="242">
        <f>59225*1.01</f>
        <v>59817.25</v>
      </c>
      <c r="AB104" s="244"/>
      <c r="AC104" s="244"/>
      <c r="AD104" s="244"/>
      <c r="AE104" s="244"/>
      <c r="AF104" s="241">
        <f>SUM(Z104:AE104)</f>
        <v>59817.25</v>
      </c>
      <c r="AH104" s="242"/>
      <c r="AI104" s="242"/>
      <c r="AJ104" s="244"/>
      <c r="AK104" s="244"/>
      <c r="AL104" s="244"/>
      <c r="AM104" s="244"/>
      <c r="AN104" s="241">
        <f>SUM(AH104:AM104)</f>
        <v>0</v>
      </c>
      <c r="AP104" s="242"/>
      <c r="AQ104" s="242">
        <f>75000*1.01</f>
        <v>75750</v>
      </c>
      <c r="AR104" s="244"/>
      <c r="AS104" s="244"/>
      <c r="AT104" s="244"/>
      <c r="AU104" s="244"/>
      <c r="AV104" s="241">
        <f>SUM(AP104:AU104)</f>
        <v>75750</v>
      </c>
      <c r="AX104" s="242"/>
      <c r="AY104" s="242"/>
      <c r="AZ104" s="244"/>
      <c r="BA104" s="244"/>
      <c r="BB104" s="244"/>
      <c r="BC104" s="244"/>
      <c r="BD104" s="241">
        <f>SUM(AX104:BC104)</f>
        <v>0</v>
      </c>
      <c r="BF104" s="244"/>
      <c r="BG104" s="244"/>
      <c r="BH104" s="244"/>
      <c r="BI104" s="244"/>
      <c r="BJ104" s="244"/>
      <c r="BK104" s="244"/>
      <c r="BL104" s="241">
        <f>SUM(BF104:BK104)</f>
        <v>0</v>
      </c>
      <c r="BN104" s="241">
        <f t="shared" si="138"/>
        <v>0</v>
      </c>
      <c r="BO104" s="241">
        <f t="shared" si="129"/>
        <v>394480.75</v>
      </c>
      <c r="BP104" s="241">
        <f t="shared" si="129"/>
        <v>0</v>
      </c>
      <c r="BQ104" s="241">
        <f t="shared" si="129"/>
        <v>0</v>
      </c>
      <c r="BR104" s="241">
        <f t="shared" si="129"/>
        <v>0</v>
      </c>
      <c r="BS104" s="241">
        <f t="shared" si="129"/>
        <v>0</v>
      </c>
      <c r="BT104" s="241">
        <f>SUM(BN104:BS104)</f>
        <v>394480.75</v>
      </c>
    </row>
    <row r="105" spans="1:72" x14ac:dyDescent="0.25">
      <c r="A105" s="201" t="s">
        <v>240</v>
      </c>
      <c r="B105" s="244"/>
      <c r="C105" s="244"/>
      <c r="D105" s="244"/>
      <c r="E105" s="244"/>
      <c r="F105" s="244"/>
      <c r="G105" s="244"/>
      <c r="H105" s="241">
        <f>SUM(B105:G105)</f>
        <v>0</v>
      </c>
      <c r="J105" s="244"/>
      <c r="K105" s="244">
        <f>63860*1.01</f>
        <v>64498.6</v>
      </c>
      <c r="L105" s="244"/>
      <c r="M105" s="244"/>
      <c r="N105" s="244"/>
      <c r="O105" s="244"/>
      <c r="P105" s="241">
        <f>SUM(J105:O105)</f>
        <v>64498.6</v>
      </c>
      <c r="R105" s="244"/>
      <c r="S105" s="244"/>
      <c r="T105" s="244"/>
      <c r="U105" s="244"/>
      <c r="V105" s="244"/>
      <c r="W105" s="244"/>
      <c r="X105" s="241">
        <f>SUM(R105:W105)</f>
        <v>0</v>
      </c>
      <c r="Z105" s="242"/>
      <c r="AA105" s="244">
        <f>54848*1.01</f>
        <v>55396.480000000003</v>
      </c>
      <c r="AB105" s="244"/>
      <c r="AC105" s="244"/>
      <c r="AD105" s="244"/>
      <c r="AE105" s="244"/>
      <c r="AF105" s="241">
        <f>SUM(Z105:AE105)</f>
        <v>55396.480000000003</v>
      </c>
      <c r="AH105" s="242">
        <v>0</v>
      </c>
      <c r="AI105" s="244"/>
      <c r="AJ105" s="244"/>
      <c r="AK105" s="244"/>
      <c r="AL105" s="244"/>
      <c r="AM105" s="244"/>
      <c r="AN105" s="241">
        <f>SUM(AH105:AM105)</f>
        <v>0</v>
      </c>
      <c r="AP105" s="244"/>
      <c r="AQ105" s="244"/>
      <c r="AR105" s="244"/>
      <c r="AS105" s="244"/>
      <c r="AT105" s="244"/>
      <c r="AU105" s="244"/>
      <c r="AV105" s="241">
        <f>SUM(AP105:AU105)</f>
        <v>0</v>
      </c>
      <c r="AX105" s="244"/>
      <c r="AY105" s="244"/>
      <c r="AZ105" s="244"/>
      <c r="BA105" s="244"/>
      <c r="BB105" s="244"/>
      <c r="BC105" s="244"/>
      <c r="BD105" s="241">
        <f>SUM(AX105:BC105)</f>
        <v>0</v>
      </c>
      <c r="BF105" s="244"/>
      <c r="BG105" s="244"/>
      <c r="BH105" s="244"/>
      <c r="BI105" s="244"/>
      <c r="BJ105" s="244"/>
      <c r="BK105" s="244"/>
      <c r="BL105" s="241">
        <f>SUM(BF105:BK105)</f>
        <v>0</v>
      </c>
      <c r="BN105" s="241">
        <f t="shared" si="138"/>
        <v>0</v>
      </c>
      <c r="BO105" s="241">
        <f t="shared" si="129"/>
        <v>119895.08</v>
      </c>
      <c r="BP105" s="241">
        <f t="shared" si="129"/>
        <v>0</v>
      </c>
      <c r="BQ105" s="241">
        <f t="shared" si="129"/>
        <v>0</v>
      </c>
      <c r="BR105" s="241">
        <f t="shared" si="129"/>
        <v>0</v>
      </c>
      <c r="BS105" s="241">
        <f t="shared" si="129"/>
        <v>0</v>
      </c>
      <c r="BT105" s="241">
        <f>SUM(BN105:BS105)</f>
        <v>119895.08</v>
      </c>
    </row>
    <row r="106" spans="1:72" x14ac:dyDescent="0.25">
      <c r="A106" s="201" t="s">
        <v>241</v>
      </c>
      <c r="B106" s="244"/>
      <c r="C106" s="244"/>
      <c r="D106" s="244"/>
      <c r="E106" s="244"/>
      <c r="F106" s="244"/>
      <c r="G106" s="244"/>
      <c r="H106" s="241">
        <f>SUM(B106:G106)</f>
        <v>0</v>
      </c>
      <c r="J106" s="244"/>
      <c r="K106" s="244">
        <f>98880*1.01</f>
        <v>99868.800000000003</v>
      </c>
      <c r="L106" s="244"/>
      <c r="M106" s="244"/>
      <c r="N106" s="244"/>
      <c r="O106" s="244"/>
      <c r="P106" s="241">
        <f>SUM(J106:O106)</f>
        <v>99868.800000000003</v>
      </c>
      <c r="R106" s="244"/>
      <c r="S106" s="244">
        <f>46063*1.01</f>
        <v>46523.63</v>
      </c>
      <c r="T106" s="244"/>
      <c r="U106" s="244"/>
      <c r="V106" s="244"/>
      <c r="W106" s="244"/>
      <c r="X106" s="241">
        <f>SUM(R106:W106)</f>
        <v>46523.63</v>
      </c>
      <c r="Z106" s="244"/>
      <c r="AA106" s="244">
        <f>45063*1.01</f>
        <v>45513.63</v>
      </c>
      <c r="AB106" s="244"/>
      <c r="AC106" s="244"/>
      <c r="AD106" s="244"/>
      <c r="AE106" s="244"/>
      <c r="AF106" s="241">
        <f>SUM(Z106:AE106)</f>
        <v>45513.63</v>
      </c>
      <c r="AH106" s="244"/>
      <c r="AI106" s="244">
        <f>94700*1.01</f>
        <v>95647</v>
      </c>
      <c r="AJ106" s="244"/>
      <c r="AK106" s="244"/>
      <c r="AL106" s="244"/>
      <c r="AM106" s="244"/>
      <c r="AN106" s="241">
        <f>SUM(AH106:AM106)</f>
        <v>95647</v>
      </c>
      <c r="AP106" s="244"/>
      <c r="AQ106" s="244"/>
      <c r="AR106" s="244"/>
      <c r="AS106" s="244"/>
      <c r="AT106" s="244"/>
      <c r="AU106" s="244"/>
      <c r="AV106" s="241">
        <f>SUM(AP106:AU106)</f>
        <v>0</v>
      </c>
      <c r="AX106" s="244"/>
      <c r="AY106" s="244"/>
      <c r="AZ106" s="244"/>
      <c r="BA106" s="244"/>
      <c r="BB106" s="244"/>
      <c r="BC106" s="244"/>
      <c r="BD106" s="241">
        <f>SUM(AX106:BC106)</f>
        <v>0</v>
      </c>
      <c r="BF106" s="244"/>
      <c r="BG106" s="244"/>
      <c r="BH106" s="244"/>
      <c r="BI106" s="244"/>
      <c r="BJ106" s="244"/>
      <c r="BK106" s="244"/>
      <c r="BL106" s="241">
        <f>SUM(BF106:BK106)</f>
        <v>0</v>
      </c>
      <c r="BN106" s="241">
        <f t="shared" si="138"/>
        <v>0</v>
      </c>
      <c r="BO106" s="241">
        <f t="shared" si="129"/>
        <v>287553.06</v>
      </c>
      <c r="BP106" s="241">
        <f t="shared" si="129"/>
        <v>0</v>
      </c>
      <c r="BQ106" s="241">
        <f t="shared" si="129"/>
        <v>0</v>
      </c>
      <c r="BR106" s="241">
        <f t="shared" si="129"/>
        <v>0</v>
      </c>
      <c r="BS106" s="241">
        <f t="shared" si="129"/>
        <v>0</v>
      </c>
      <c r="BT106" s="241">
        <f>SUM(BN106:BS106)</f>
        <v>287553.06</v>
      </c>
    </row>
    <row r="107" spans="1:72" x14ac:dyDescent="0.25">
      <c r="A107" s="201" t="s">
        <v>208</v>
      </c>
      <c r="B107" s="244"/>
      <c r="C107" s="244"/>
      <c r="D107" s="244"/>
      <c r="E107" s="244"/>
      <c r="F107" s="244"/>
      <c r="G107" s="244"/>
      <c r="H107" s="241">
        <f t="shared" si="130"/>
        <v>0</v>
      </c>
      <c r="J107" s="244">
        <f>75396*1.01</f>
        <v>76149.960000000006</v>
      </c>
      <c r="K107" s="244"/>
      <c r="L107" s="244"/>
      <c r="M107" s="244"/>
      <c r="N107" s="244"/>
      <c r="O107" s="244"/>
      <c r="P107" s="241">
        <f t="shared" si="131"/>
        <v>76149.960000000006</v>
      </c>
      <c r="R107" s="244">
        <f>33960*1.01</f>
        <v>34299.599999999999</v>
      </c>
      <c r="S107" s="244"/>
      <c r="T107" s="244"/>
      <c r="U107" s="244"/>
      <c r="V107" s="244"/>
      <c r="W107" s="244"/>
      <c r="X107" s="241">
        <f t="shared" si="132"/>
        <v>34299.599999999999</v>
      </c>
      <c r="Z107" s="244">
        <f>32960*1.01</f>
        <v>33289.599999999999</v>
      </c>
      <c r="AA107" s="244"/>
      <c r="AB107" s="244"/>
      <c r="AC107" s="244"/>
      <c r="AD107" s="244"/>
      <c r="AE107" s="244"/>
      <c r="AF107" s="241">
        <f t="shared" si="133"/>
        <v>33289.599999999999</v>
      </c>
      <c r="AH107" s="244">
        <f>78000*1.01</f>
        <v>78780</v>
      </c>
      <c r="AI107" s="244"/>
      <c r="AJ107" s="244"/>
      <c r="AK107" s="244"/>
      <c r="AL107" s="244"/>
      <c r="AM107" s="244"/>
      <c r="AN107" s="241">
        <f t="shared" si="134"/>
        <v>78780</v>
      </c>
      <c r="AP107" s="244"/>
      <c r="AQ107" s="244"/>
      <c r="AR107" s="244"/>
      <c r="AS107" s="244"/>
      <c r="AT107" s="244"/>
      <c r="AU107" s="244"/>
      <c r="AV107" s="241">
        <f t="shared" si="135"/>
        <v>0</v>
      </c>
      <c r="AX107" s="244"/>
      <c r="AY107" s="244"/>
      <c r="AZ107" s="244"/>
      <c r="BA107" s="244"/>
      <c r="BB107" s="244"/>
      <c r="BC107" s="244"/>
      <c r="BD107" s="241">
        <f t="shared" si="136"/>
        <v>0</v>
      </c>
      <c r="BF107" s="244"/>
      <c r="BG107" s="244"/>
      <c r="BH107" s="244"/>
      <c r="BI107" s="244"/>
      <c r="BJ107" s="244"/>
      <c r="BK107" s="244"/>
      <c r="BL107" s="241">
        <f t="shared" si="137"/>
        <v>0</v>
      </c>
      <c r="BN107" s="241">
        <f t="shared" si="138"/>
        <v>222519.16</v>
      </c>
      <c r="BO107" s="241">
        <f t="shared" si="129"/>
        <v>0</v>
      </c>
      <c r="BP107" s="241">
        <f t="shared" si="129"/>
        <v>0</v>
      </c>
      <c r="BQ107" s="241">
        <f t="shared" si="129"/>
        <v>0</v>
      </c>
      <c r="BR107" s="241">
        <f t="shared" si="129"/>
        <v>0</v>
      </c>
      <c r="BS107" s="241">
        <f t="shared" si="129"/>
        <v>0</v>
      </c>
      <c r="BT107" s="241">
        <f t="shared" ref="BT107:BT108" si="141">SUM(BN107:BS107)</f>
        <v>222519.16</v>
      </c>
    </row>
    <row r="108" spans="1:72" x14ac:dyDescent="0.25">
      <c r="A108" s="202" t="s">
        <v>242</v>
      </c>
      <c r="B108" s="245">
        <f>31000*1.01</f>
        <v>31310</v>
      </c>
      <c r="C108" s="245"/>
      <c r="D108" s="245"/>
      <c r="E108" s="245"/>
      <c r="F108" s="245"/>
      <c r="G108" s="245"/>
      <c r="H108" s="241">
        <f t="shared" si="130"/>
        <v>31310</v>
      </c>
      <c r="J108" s="245">
        <f>56650*1.01</f>
        <v>57216.5</v>
      </c>
      <c r="K108" s="245"/>
      <c r="L108" s="245"/>
      <c r="M108" s="245"/>
      <c r="N108" s="245"/>
      <c r="O108" s="245"/>
      <c r="P108" s="241">
        <f t="shared" si="131"/>
        <v>57216.5</v>
      </c>
      <c r="R108" s="245"/>
      <c r="S108" s="245"/>
      <c r="T108" s="245"/>
      <c r="U108" s="245"/>
      <c r="V108" s="245"/>
      <c r="W108" s="245"/>
      <c r="X108" s="241">
        <f t="shared" si="132"/>
        <v>0</v>
      </c>
      <c r="Z108" s="245">
        <f>61800*1.01</f>
        <v>62418</v>
      </c>
      <c r="AA108" s="245"/>
      <c r="AB108" s="245"/>
      <c r="AC108" s="245"/>
      <c r="AD108" s="245"/>
      <c r="AE108" s="245"/>
      <c r="AF108" s="241">
        <f t="shared" si="133"/>
        <v>62418</v>
      </c>
      <c r="AH108" s="245">
        <f>(63000)*1.01</f>
        <v>63630</v>
      </c>
      <c r="AI108" s="245"/>
      <c r="AJ108" s="245"/>
      <c r="AK108" s="245"/>
      <c r="AL108" s="245"/>
      <c r="AM108" s="245"/>
      <c r="AN108" s="241">
        <f t="shared" si="134"/>
        <v>63630</v>
      </c>
      <c r="AP108" s="245"/>
      <c r="AQ108" s="245"/>
      <c r="AR108" s="245"/>
      <c r="AS108" s="245"/>
      <c r="AT108" s="245"/>
      <c r="AU108" s="245"/>
      <c r="AV108" s="241">
        <f t="shared" si="135"/>
        <v>0</v>
      </c>
      <c r="AX108" s="245"/>
      <c r="AY108" s="245"/>
      <c r="AZ108" s="245"/>
      <c r="BA108" s="245"/>
      <c r="BB108" s="245"/>
      <c r="BC108" s="245"/>
      <c r="BD108" s="241">
        <f t="shared" si="136"/>
        <v>0</v>
      </c>
      <c r="BF108" s="245"/>
      <c r="BG108" s="245"/>
      <c r="BH108" s="245"/>
      <c r="BI108" s="245"/>
      <c r="BJ108" s="245"/>
      <c r="BK108" s="245"/>
      <c r="BL108" s="241">
        <f t="shared" si="137"/>
        <v>0</v>
      </c>
      <c r="BN108" s="241">
        <f t="shared" si="138"/>
        <v>214574.5</v>
      </c>
      <c r="BO108" s="241">
        <f t="shared" si="129"/>
        <v>0</v>
      </c>
      <c r="BP108" s="241">
        <f t="shared" si="129"/>
        <v>0</v>
      </c>
      <c r="BQ108" s="241">
        <f t="shared" si="129"/>
        <v>0</v>
      </c>
      <c r="BR108" s="241">
        <f t="shared" si="129"/>
        <v>0</v>
      </c>
      <c r="BS108" s="241">
        <f t="shared" si="129"/>
        <v>0</v>
      </c>
      <c r="BT108" s="241">
        <f t="shared" si="141"/>
        <v>214574.5</v>
      </c>
    </row>
    <row r="109" spans="1:72" x14ac:dyDescent="0.25">
      <c r="A109" s="207" t="s">
        <v>329</v>
      </c>
      <c r="B109" s="258">
        <f t="shared" ref="B109:H109" si="142">SUM(B93:B108)</f>
        <v>743612.63679999998</v>
      </c>
      <c r="C109" s="258">
        <f t="shared" si="142"/>
        <v>172962.5</v>
      </c>
      <c r="D109" s="258">
        <f t="shared" si="142"/>
        <v>62640</v>
      </c>
      <c r="E109" s="258">
        <f t="shared" si="142"/>
        <v>0</v>
      </c>
      <c r="F109" s="258">
        <f t="shared" si="142"/>
        <v>0</v>
      </c>
      <c r="G109" s="258">
        <f t="shared" si="142"/>
        <v>0</v>
      </c>
      <c r="H109" s="258">
        <f t="shared" si="142"/>
        <v>979215.13679999998</v>
      </c>
      <c r="J109" s="258">
        <f t="shared" ref="J109:P109" si="143">SUM(J93:J108)</f>
        <v>2740556.1380000003</v>
      </c>
      <c r="K109" s="258">
        <f t="shared" si="143"/>
        <v>257994.40000000002</v>
      </c>
      <c r="L109" s="258">
        <f t="shared" si="143"/>
        <v>163080</v>
      </c>
      <c r="M109" s="258">
        <f t="shared" si="143"/>
        <v>0</v>
      </c>
      <c r="N109" s="258">
        <f t="shared" si="143"/>
        <v>0</v>
      </c>
      <c r="O109" s="258">
        <f t="shared" si="143"/>
        <v>0</v>
      </c>
      <c r="P109" s="258">
        <f t="shared" si="143"/>
        <v>3161630.5380000002</v>
      </c>
      <c r="R109" s="258">
        <f t="shared" ref="R109:X109" si="144">SUM(R93:R108)</f>
        <v>1005051.1094</v>
      </c>
      <c r="S109" s="258">
        <f t="shared" si="144"/>
        <v>131767.63</v>
      </c>
      <c r="T109" s="258">
        <f t="shared" si="144"/>
        <v>68537.5</v>
      </c>
      <c r="U109" s="258">
        <f t="shared" si="144"/>
        <v>0</v>
      </c>
      <c r="V109" s="258">
        <f t="shared" si="144"/>
        <v>0</v>
      </c>
      <c r="W109" s="258">
        <f t="shared" si="144"/>
        <v>0</v>
      </c>
      <c r="X109" s="258">
        <f t="shared" si="144"/>
        <v>1205356.2393999998</v>
      </c>
      <c r="Z109" s="258">
        <f t="shared" ref="Z109:AF109" si="145">SUM(Z93:Z108)</f>
        <v>942635.45620000002</v>
      </c>
      <c r="AA109" s="258">
        <f t="shared" si="145"/>
        <v>186734.86000000002</v>
      </c>
      <c r="AB109" s="258">
        <f t="shared" si="145"/>
        <v>61920</v>
      </c>
      <c r="AC109" s="258">
        <f t="shared" si="145"/>
        <v>0</v>
      </c>
      <c r="AD109" s="258">
        <f t="shared" si="145"/>
        <v>0</v>
      </c>
      <c r="AE109" s="258">
        <f t="shared" si="145"/>
        <v>0</v>
      </c>
      <c r="AF109" s="258">
        <f t="shared" si="145"/>
        <v>1191290.3162</v>
      </c>
      <c r="AH109" s="258">
        <f t="shared" ref="AH109:AN109" si="146">SUM(AH93:AH108)</f>
        <v>2172026.54</v>
      </c>
      <c r="AI109" s="258">
        <f t="shared" si="146"/>
        <v>95647</v>
      </c>
      <c r="AJ109" s="258">
        <f t="shared" si="146"/>
        <v>96210</v>
      </c>
      <c r="AK109" s="258">
        <f t="shared" si="146"/>
        <v>0</v>
      </c>
      <c r="AL109" s="258">
        <f t="shared" si="146"/>
        <v>0</v>
      </c>
      <c r="AM109" s="258">
        <f t="shared" si="146"/>
        <v>0</v>
      </c>
      <c r="AN109" s="258">
        <f t="shared" si="146"/>
        <v>2363883.54</v>
      </c>
      <c r="AP109" s="258">
        <f t="shared" ref="AP109:AV109" si="147">SUM(AP93:AP108)</f>
        <v>442501</v>
      </c>
      <c r="AQ109" s="258">
        <f t="shared" si="147"/>
        <v>75750</v>
      </c>
      <c r="AR109" s="258">
        <f t="shared" si="147"/>
        <v>29160</v>
      </c>
      <c r="AS109" s="258">
        <f t="shared" si="147"/>
        <v>0</v>
      </c>
      <c r="AT109" s="258">
        <f t="shared" si="147"/>
        <v>0</v>
      </c>
      <c r="AU109" s="258">
        <f t="shared" si="147"/>
        <v>0</v>
      </c>
      <c r="AV109" s="258">
        <f t="shared" si="147"/>
        <v>547411</v>
      </c>
      <c r="AX109" s="258">
        <f t="shared" ref="AX109:BD109" si="148">SUM(AX93:AX108)</f>
        <v>0</v>
      </c>
      <c r="AY109" s="258">
        <f t="shared" si="148"/>
        <v>0</v>
      </c>
      <c r="AZ109" s="258">
        <f t="shared" si="148"/>
        <v>0</v>
      </c>
      <c r="BA109" s="258">
        <f t="shared" si="148"/>
        <v>0</v>
      </c>
      <c r="BB109" s="258">
        <f t="shared" si="148"/>
        <v>0</v>
      </c>
      <c r="BC109" s="258">
        <f t="shared" si="148"/>
        <v>0</v>
      </c>
      <c r="BD109" s="258">
        <f t="shared" si="148"/>
        <v>0</v>
      </c>
      <c r="BF109" s="258">
        <f t="shared" ref="BF109:BL109" si="149">SUM(BF93:BF108)</f>
        <v>239824.5</v>
      </c>
      <c r="BG109" s="258">
        <f t="shared" si="149"/>
        <v>0</v>
      </c>
      <c r="BH109" s="258">
        <f t="shared" si="149"/>
        <v>25887.5</v>
      </c>
      <c r="BI109" s="258">
        <f t="shared" si="149"/>
        <v>0</v>
      </c>
      <c r="BJ109" s="258">
        <f t="shared" si="149"/>
        <v>0</v>
      </c>
      <c r="BK109" s="258">
        <f t="shared" si="149"/>
        <v>0</v>
      </c>
      <c r="BL109" s="258">
        <f t="shared" si="149"/>
        <v>265712</v>
      </c>
      <c r="BN109" s="258">
        <f t="shared" ref="BN109:BT109" si="150">SUM(BN93:BN108)</f>
        <v>8286207.3804000001</v>
      </c>
      <c r="BO109" s="258">
        <f t="shared" si="150"/>
        <v>920856.3899999999</v>
      </c>
      <c r="BP109" s="258">
        <f t="shared" si="150"/>
        <v>507435</v>
      </c>
      <c r="BQ109" s="258">
        <f t="shared" si="150"/>
        <v>0</v>
      </c>
      <c r="BR109" s="258">
        <f t="shared" si="150"/>
        <v>0</v>
      </c>
      <c r="BS109" s="258">
        <f t="shared" si="150"/>
        <v>0</v>
      </c>
      <c r="BT109" s="258">
        <f t="shared" si="150"/>
        <v>9714498.7704000007</v>
      </c>
    </row>
    <row r="110" spans="1:72" x14ac:dyDescent="0.25">
      <c r="A110" s="200" t="s">
        <v>364</v>
      </c>
      <c r="B110" s="257">
        <f>B109*0.3725</f>
        <v>276995.70720800001</v>
      </c>
      <c r="C110" s="257">
        <f t="shared" ref="C110:G110" si="151">C109*0.3725</f>
        <v>64428.53125</v>
      </c>
      <c r="D110" s="257">
        <f t="shared" si="151"/>
        <v>23333.4</v>
      </c>
      <c r="E110" s="257">
        <f t="shared" si="151"/>
        <v>0</v>
      </c>
      <c r="F110" s="257">
        <f t="shared" si="151"/>
        <v>0</v>
      </c>
      <c r="G110" s="257">
        <f t="shared" si="151"/>
        <v>0</v>
      </c>
      <c r="H110" s="241">
        <f t="shared" si="130"/>
        <v>364757.63845800003</v>
      </c>
      <c r="J110" s="257">
        <f>J109*0.3725</f>
        <v>1020857.1614050001</v>
      </c>
      <c r="K110" s="257">
        <f t="shared" ref="K110:O110" si="152">K109*0.3725</f>
        <v>96102.914000000004</v>
      </c>
      <c r="L110" s="257">
        <f t="shared" si="152"/>
        <v>60747.3</v>
      </c>
      <c r="M110" s="257">
        <f t="shared" si="152"/>
        <v>0</v>
      </c>
      <c r="N110" s="257">
        <f t="shared" si="152"/>
        <v>0</v>
      </c>
      <c r="O110" s="257">
        <f t="shared" si="152"/>
        <v>0</v>
      </c>
      <c r="P110" s="241">
        <f t="shared" si="131"/>
        <v>1177707.3754050003</v>
      </c>
      <c r="R110" s="257">
        <f>R109*0.3725</f>
        <v>374381.53825149999</v>
      </c>
      <c r="S110" s="257">
        <f t="shared" ref="S110:W110" si="153">S109*0.3725</f>
        <v>49083.442175000004</v>
      </c>
      <c r="T110" s="257">
        <f t="shared" si="153"/>
        <v>25530.21875</v>
      </c>
      <c r="U110" s="257">
        <f t="shared" si="153"/>
        <v>0</v>
      </c>
      <c r="V110" s="257">
        <f t="shared" si="153"/>
        <v>0</v>
      </c>
      <c r="W110" s="257">
        <f t="shared" si="153"/>
        <v>0</v>
      </c>
      <c r="X110" s="241">
        <f t="shared" si="132"/>
        <v>448995.19917649997</v>
      </c>
      <c r="Z110" s="257">
        <f>(Z109-Z93)*0.3725+(Z93*0.1)</f>
        <v>287159.96953250002</v>
      </c>
      <c r="AA110" s="257">
        <f>AA109*0.3725</f>
        <v>69558.735350000003</v>
      </c>
      <c r="AB110" s="257">
        <f>AB109*0.3725</f>
        <v>23065.200000000001</v>
      </c>
      <c r="AC110" s="257">
        <f t="shared" ref="AC110:AE110" si="154">AC109*0.3675</f>
        <v>0</v>
      </c>
      <c r="AD110" s="257">
        <f t="shared" si="154"/>
        <v>0</v>
      </c>
      <c r="AE110" s="257">
        <f t="shared" si="154"/>
        <v>0</v>
      </c>
      <c r="AF110" s="241">
        <f t="shared" si="133"/>
        <v>379783.90488250001</v>
      </c>
      <c r="AH110" s="257">
        <f>AH109*0.3725</f>
        <v>809079.88615000003</v>
      </c>
      <c r="AI110" s="257">
        <f t="shared" ref="AI110:AM110" si="155">AI109*0.3725</f>
        <v>35628.5075</v>
      </c>
      <c r="AJ110" s="257">
        <f t="shared" si="155"/>
        <v>35838.224999999999</v>
      </c>
      <c r="AK110" s="257">
        <f t="shared" si="155"/>
        <v>0</v>
      </c>
      <c r="AL110" s="257">
        <f t="shared" si="155"/>
        <v>0</v>
      </c>
      <c r="AM110" s="257">
        <f t="shared" si="155"/>
        <v>0</v>
      </c>
      <c r="AN110" s="241">
        <f t="shared" si="134"/>
        <v>880546.61864999996</v>
      </c>
      <c r="AP110" s="257">
        <f>(AP109)*0.3725</f>
        <v>164831.6225</v>
      </c>
      <c r="AQ110" s="257">
        <f t="shared" ref="AQ110:AU110" si="156">(AQ109)*0.3725</f>
        <v>28216.875</v>
      </c>
      <c r="AR110" s="257">
        <f t="shared" si="156"/>
        <v>10862.1</v>
      </c>
      <c r="AS110" s="257">
        <f t="shared" si="156"/>
        <v>0</v>
      </c>
      <c r="AT110" s="257">
        <f t="shared" si="156"/>
        <v>0</v>
      </c>
      <c r="AU110" s="257">
        <f t="shared" si="156"/>
        <v>0</v>
      </c>
      <c r="AV110" s="241">
        <f t="shared" si="135"/>
        <v>203910.5975</v>
      </c>
      <c r="AX110" s="257">
        <f>(AX109-AX93)*0.3675+(AX93*0.1)</f>
        <v>0</v>
      </c>
      <c r="AY110" s="257">
        <f t="shared" ref="AY110:BC110" si="157">AY109*0.3675</f>
        <v>0</v>
      </c>
      <c r="AZ110" s="257">
        <f t="shared" si="157"/>
        <v>0</v>
      </c>
      <c r="BA110" s="257">
        <f t="shared" si="157"/>
        <v>0</v>
      </c>
      <c r="BB110" s="257">
        <f t="shared" si="157"/>
        <v>0</v>
      </c>
      <c r="BC110" s="257">
        <f t="shared" si="157"/>
        <v>0</v>
      </c>
      <c r="BD110" s="241">
        <f t="shared" si="136"/>
        <v>0</v>
      </c>
      <c r="BF110" s="241">
        <f>BF109*0.3725</f>
        <v>89334.626250000001</v>
      </c>
      <c r="BG110" s="241">
        <f t="shared" ref="BG110:BK110" si="158">BG109*0.3725</f>
        <v>0</v>
      </c>
      <c r="BH110" s="241">
        <f t="shared" si="158"/>
        <v>9643.09375</v>
      </c>
      <c r="BI110" s="241">
        <f t="shared" si="158"/>
        <v>0</v>
      </c>
      <c r="BJ110" s="241">
        <f t="shared" si="158"/>
        <v>0</v>
      </c>
      <c r="BK110" s="241">
        <f t="shared" si="158"/>
        <v>0</v>
      </c>
      <c r="BL110" s="241">
        <f t="shared" si="137"/>
        <v>98977.72</v>
      </c>
      <c r="BN110" s="241">
        <f>B110+J110+R110+Z110+AH110+AP110+AX110+BF110</f>
        <v>3022640.5112970006</v>
      </c>
      <c r="BO110" s="241">
        <f t="shared" ref="BO110:BS115" si="159">C110+K110+S110+AA110+AI110+AQ110+AY110+BG110</f>
        <v>343019.005275</v>
      </c>
      <c r="BP110" s="241">
        <f t="shared" si="159"/>
        <v>189019.53750000003</v>
      </c>
      <c r="BQ110" s="241">
        <f t="shared" si="159"/>
        <v>0</v>
      </c>
      <c r="BR110" s="241">
        <f t="shared" si="159"/>
        <v>0</v>
      </c>
      <c r="BS110" s="241">
        <f t="shared" si="159"/>
        <v>0</v>
      </c>
      <c r="BT110" s="241">
        <f t="shared" ref="BT110:BT115" si="160">SUM(BN110:BS110)</f>
        <v>3554679.0540720006</v>
      </c>
    </row>
    <row r="111" spans="1:72" x14ac:dyDescent="0.25">
      <c r="A111" s="201" t="s">
        <v>244</v>
      </c>
      <c r="B111" s="242">
        <f>(((8250*(B64*0.8))+((200*(B64*0.85))+((75*(B64*0.825))+(B64*55)+(B109*0.015)+(B109*0.03)))))</f>
        <v>122991.943656</v>
      </c>
      <c r="C111" s="242">
        <f t="shared" ref="C111:G111" si="161">(((8250*(C64*0.8))+((200*(C64*0.85))+((75*(C64*0.825))+(C64*55)+(C109*0.015)+(C109*0.03)))))</f>
        <v>14670.1875</v>
      </c>
      <c r="D111" s="242">
        <f>(((8250*(D64*0.8))+((200*(D64*0.85))+((75*(D64*0.825))+(D64*55)+(D109*0.015)+(D109*0.03)))))*0.5</f>
        <v>8296.2749999999996</v>
      </c>
      <c r="E111" s="242">
        <f t="shared" si="161"/>
        <v>0</v>
      </c>
      <c r="F111" s="242">
        <f t="shared" si="161"/>
        <v>0</v>
      </c>
      <c r="G111" s="242">
        <f t="shared" si="161"/>
        <v>0</v>
      </c>
      <c r="H111" s="241">
        <f t="shared" si="130"/>
        <v>145958.40615600001</v>
      </c>
      <c r="J111" s="242">
        <f>(((8250*(J64*0.8))+((200*(J64*0.85))+((75*(J64*0.825))+(J64*55)+(J109*0.015)+(J109*0.03)))))</f>
        <v>412573.77621000004</v>
      </c>
      <c r="K111" s="242">
        <f>(((8250*(K64*0.8))+((200*(K64*0.85))+((75*(K64*0.825))+(K64*55)+(K109*0.015)+(K109*0.03)))))</f>
        <v>32270.373000000003</v>
      </c>
      <c r="L111" s="242">
        <f>(((8250*(L64*0.8))+((200*(L64*0.85))+((75*(L64*0.825))+(L64*55)+(L109*0.015)+(L109*0.03)))))*0.75</f>
        <v>36494.887500000004</v>
      </c>
      <c r="M111" s="242">
        <f t="shared" ref="M111:O111" si="162">(((7600*(M64*0.8))+((190*(M64*0.85))+((70*(M64*0.825))+(M64*50)+(M109*0.015)+(M109*0.03)))))</f>
        <v>0</v>
      </c>
      <c r="N111" s="242">
        <f t="shared" si="162"/>
        <v>0</v>
      </c>
      <c r="O111" s="242">
        <f t="shared" si="162"/>
        <v>0</v>
      </c>
      <c r="P111" s="241">
        <f t="shared" si="131"/>
        <v>481339.03671000007</v>
      </c>
      <c r="R111" s="242">
        <f>(((8250*(R64*0.8))+((200*(R64*0.85))+((75*(R64*0.825))+(R64*55)+(R109*0.015)+(R109*0.03)))))</f>
        <v>151973.86242299998</v>
      </c>
      <c r="S111" s="242">
        <f>(((8250*(S64*0.8))+((200*(S64*0.85))+((75*(S64*0.825))+(S64*55)+(S109*0.015)+(S109*0.03)))))</f>
        <v>16259.855850000002</v>
      </c>
      <c r="T111" s="242">
        <f>(((8250*(T64*0.8))+((200*(T64*0.85))+((75*(T64*0.825))+(T64*55)+(T109*0.015)+(T109*0.03)))))*0.75</f>
        <v>12643.453125</v>
      </c>
      <c r="U111" s="242">
        <f t="shared" ref="U111:W111" si="163">(((8300*(U64*0.8))+((200*(U64*0.85))+((75*(U64*0.825))+(U64*55)+(U109*0.015)+(U109*0.03)))))</f>
        <v>0</v>
      </c>
      <c r="V111" s="242">
        <f t="shared" si="163"/>
        <v>0</v>
      </c>
      <c r="W111" s="242">
        <f t="shared" si="163"/>
        <v>0</v>
      </c>
      <c r="X111" s="241">
        <f t="shared" si="132"/>
        <v>180877.17139799998</v>
      </c>
      <c r="Z111" s="242">
        <f>(((8250*(Z64*0.8))+((200*(Z64*0.85))+((75*(Z64*0.825))+(Z64*55)+(Z109*0.015)+(Z109*0.03)))))</f>
        <v>135391.40802899998</v>
      </c>
      <c r="AA111" s="242">
        <f t="shared" ref="AA111" si="164">(((8250*(AA64*0.8))+((200*(AA64*0.85))+((75*(AA64*0.825))+(AA64*55)+(AA109*0.015)+(AA109*0.03)))))</f>
        <v>27892.924950000004</v>
      </c>
      <c r="AB111" s="242">
        <f>(((8250*(AB64*0.8))+((200*(AB64*0.85))+((75*(AB64*0.825))+(AB64*55)+(AB109*0.015)+(AB109*0.03)))))*0.75</f>
        <v>12420.112500000001</v>
      </c>
      <c r="AC111" s="242">
        <f t="shared" ref="AC111:AE111" si="165">(((7600*(AC64*0.8))+((190*(AC64*0.85))+((70*(AC64*0.825))+(AC64*50)+(AC109*0.015)+(AC109*0.03)))))</f>
        <v>0</v>
      </c>
      <c r="AD111" s="242">
        <f t="shared" si="165"/>
        <v>0</v>
      </c>
      <c r="AE111" s="242">
        <f t="shared" si="165"/>
        <v>0</v>
      </c>
      <c r="AF111" s="241">
        <f t="shared" si="133"/>
        <v>175704.44547899999</v>
      </c>
      <c r="AH111" s="242">
        <f>(((8250*(AH64*0.8))+((200*(AH64*0.85))+((75*(AH64*0.825))+(AH64*55)+(AH109*0.015)+(AH109*0.03)))))</f>
        <v>352555.56929999997</v>
      </c>
      <c r="AI111" s="242">
        <f t="shared" ref="AI111" si="166">(((8250*(AI64*0.8))+((200*(AI64*0.85))+((75*(AI64*0.825))+(AI64*55)+(AI109*0.015)+(AI109*0.03)))))</f>
        <v>14634.427500000002</v>
      </c>
      <c r="AJ111" s="242">
        <f>(((8250*(AJ64*0.8))+((200*(AJ64*0.85))+((75*(AJ64*0.825))+(AJ64*55)+(AJ109*0.015)+(AJ109*0.03)))))*0.75</f>
        <v>23907.712500000001</v>
      </c>
      <c r="AK111" s="242">
        <f t="shared" ref="AK111:AM111" si="167">(((7600*(AK64*0.8))+((190*(AK64*0.85))+((70*(AK64*0.825))+(AK64*50)+(AK109*0.015)+(AK109*0.03)))))</f>
        <v>0</v>
      </c>
      <c r="AL111" s="242">
        <f t="shared" si="167"/>
        <v>0</v>
      </c>
      <c r="AM111" s="242">
        <f t="shared" si="167"/>
        <v>0</v>
      </c>
      <c r="AN111" s="241">
        <f t="shared" si="134"/>
        <v>391097.70929999999</v>
      </c>
      <c r="AP111" s="242">
        <f>(((8250*(AP64*0.8))+((200*(AP64*0.85))+((75*(AP64*0.825))+(AP64*55)+(AP109*0.015)+(AP109*0.03)))))</f>
        <v>68120.670000000013</v>
      </c>
      <c r="AQ111" s="242">
        <f t="shared" ref="AQ111:AU111" si="168">(((8250*(AQ64*0.8))+((200*(AQ64*0.85))+((75*(AQ64*0.825))+(AQ64*55)+(AQ109*0.015)+(AQ109*0.03)))))</f>
        <v>10295.625</v>
      </c>
      <c r="AR111" s="242">
        <f>(((8250*(AR64*0.8))+((200*(AR64*0.85))+((75*(AR64*0.825))+(AR64*55)+(AR109*0.015)+(AR109*0.03)))))*0.7</f>
        <v>5739.3525</v>
      </c>
      <c r="AS111" s="242">
        <f t="shared" si="168"/>
        <v>0</v>
      </c>
      <c r="AT111" s="242">
        <f t="shared" si="168"/>
        <v>0</v>
      </c>
      <c r="AU111" s="242">
        <f t="shared" si="168"/>
        <v>0</v>
      </c>
      <c r="AV111" s="241">
        <f t="shared" si="135"/>
        <v>84155.647500000006</v>
      </c>
      <c r="AX111" s="242">
        <f>(((7600*(AX64*0.8))+((190*(AX64*0.85))+((70*(AX64*0.825))+(AX64*50)+(AX109*0.015)+(AX109*0.03)))))</f>
        <v>0</v>
      </c>
      <c r="AY111" s="242">
        <f>(((7600*(AY64*0.8))+((190*(AY64*0.85))+((70*(AY64*0.825))+(AY64*50)+(AY109*0.015)+(AY109*0.03)))))</f>
        <v>0</v>
      </c>
      <c r="AZ111" s="242">
        <f t="shared" ref="AZ111:BC111" si="169">(((7600*(AZ64*0.8))+((190*(AZ64*0.85))+((70*(AZ64*0.825))+(AZ64*50)+(AZ109*0.015)+(AZ109*0.03)))))</f>
        <v>0</v>
      </c>
      <c r="BA111" s="242">
        <f t="shared" si="169"/>
        <v>0</v>
      </c>
      <c r="BB111" s="242">
        <f t="shared" si="169"/>
        <v>0</v>
      </c>
      <c r="BC111" s="242">
        <f t="shared" si="169"/>
        <v>0</v>
      </c>
      <c r="BD111" s="241">
        <f t="shared" si="136"/>
        <v>0</v>
      </c>
      <c r="BF111" s="242">
        <f>BF109*0.1775</f>
        <v>42568.848749999997</v>
      </c>
      <c r="BG111" s="242">
        <f t="shared" ref="BG111:BK111" si="170">BG109*0.175</f>
        <v>0</v>
      </c>
      <c r="BH111" s="242">
        <f>BH109*0.1</f>
        <v>2588.75</v>
      </c>
      <c r="BI111" s="242">
        <f t="shared" si="170"/>
        <v>0</v>
      </c>
      <c r="BJ111" s="242">
        <f t="shared" si="170"/>
        <v>0</v>
      </c>
      <c r="BK111" s="242">
        <f t="shared" si="170"/>
        <v>0</v>
      </c>
      <c r="BL111" s="241">
        <f t="shared" si="137"/>
        <v>45157.598749999997</v>
      </c>
      <c r="BN111" s="241">
        <f t="shared" ref="BN111:BN115" si="171">B111+J111+R111+Z111+AH111+AP111+AX111+BF111</f>
        <v>1286176.0783679998</v>
      </c>
      <c r="BO111" s="241">
        <f t="shared" si="159"/>
        <v>116023.39380000002</v>
      </c>
      <c r="BP111" s="241">
        <f t="shared" si="159"/>
        <v>102090.54312500001</v>
      </c>
      <c r="BQ111" s="241">
        <f t="shared" si="159"/>
        <v>0</v>
      </c>
      <c r="BR111" s="241">
        <f t="shared" si="159"/>
        <v>0</v>
      </c>
      <c r="BS111" s="241">
        <f t="shared" si="159"/>
        <v>0</v>
      </c>
      <c r="BT111" s="241">
        <f t="shared" si="160"/>
        <v>1504290.0152929998</v>
      </c>
    </row>
    <row r="112" spans="1:72" x14ac:dyDescent="0.25">
      <c r="A112" s="201" t="s">
        <v>245</v>
      </c>
      <c r="B112" s="242">
        <f>(2500*B39)+(2000*B40)+((1500*(B42+B44+B45))+((1250*(B46+B47+B53))+((1250*(B57+B58+B60))+((500*(B52+B51+B49+B48))))))+(1000*5)</f>
        <v>19750</v>
      </c>
      <c r="C112" s="242">
        <f>(2500*C39)+(2000*C40)+((1500*(C42+C44+C45))+((1250*(C46+C47+C53))+((1250*(C57+C58+C60))+((500*(C52+C51+C49+C48))))))</f>
        <v>0</v>
      </c>
      <c r="D112" s="242">
        <f>(2500*D39)+(2000*D40)+((1500*(D42+D44+D45))+((1250*(D46+D47+D53))+((1250*(D57+D58+D60))+((500*(D52+D51+D49+D48))))))</f>
        <v>1000</v>
      </c>
      <c r="E112" s="242">
        <f>(2500*E39)+(2000*E40)+((1500*(E42+E44+E45))+((1250*(E46+E47+E53))+((1250*(E57+E58+E60))+((500*(E52+E51+E49+E48))))))</f>
        <v>0</v>
      </c>
      <c r="F112" s="242">
        <f t="shared" ref="F112:G112" si="172">(2500*F39)+(2000*F40)+((1500*(F42+F44+F45))+((1250*(F46+F47+F53))+((1250*(F57+F58+F60))+((500*(F52+F51+F49+F48))))))</f>
        <v>0</v>
      </c>
      <c r="G112" s="242">
        <f t="shared" si="172"/>
        <v>0</v>
      </c>
      <c r="H112" s="241">
        <f t="shared" si="130"/>
        <v>20750</v>
      </c>
      <c r="J112" s="242">
        <f>(2500*J39)+(2000*J40)+((1500*(J42+J44+J45))+((1250*(J46+J47+J53))+((1250*(J57+J58+J60))+((500*(J52+J51+J49+J48))))))+(1000*20)</f>
        <v>66500</v>
      </c>
      <c r="K112" s="242">
        <f>(2500*K39)+(2000*K40)+((1500*(K42+K44+K45))+((1250*(K46+K47+K53))+((1250*(K57+K58+K60))+((500*(K52+K51+K49+K48))))))</f>
        <v>0</v>
      </c>
      <c r="L112" s="242">
        <f>(2500*L39)+(2000*L40)+((1500*(L42+L44+L45))+((1250*(L46+L47+L53))+((1250*(L57+L58+L60))+((500*(L52+L51+L49+L48))))))</f>
        <v>3000</v>
      </c>
      <c r="M112" s="242">
        <f>(2500*M39)+(2000*M40)+((1500*(M42+M44+M45))+((1250*(M46+M47+M53))+((1250*(M57+M58+M60))+((500*(M52+M51+M49+M48))))))</f>
        <v>0</v>
      </c>
      <c r="N112" s="242">
        <f t="shared" ref="N112:O112" si="173">(2500*N39)+(2000*N40)+((1500*(N42+N44+N45))+((1250*(N46+N47+N53))+((1250*(N57+N58+N60))+((500*(N52+N51+N49+N48))))))</f>
        <v>0</v>
      </c>
      <c r="O112" s="242">
        <f t="shared" si="173"/>
        <v>0</v>
      </c>
      <c r="P112" s="241">
        <f t="shared" si="131"/>
        <v>69500</v>
      </c>
      <c r="R112" s="242">
        <f>(2500*R39)+(2000*R40)+((1500*(R42+R44+R45))+((1250*(R46+R47+R53))+((1250*(R57+R58+R60))+((500*(R52+R51+R49+R48))))))+(1000*10)</f>
        <v>27375</v>
      </c>
      <c r="S112" s="242">
        <f>(2500*S39)+(2000*S40)+((1500*(S42+S44+S45))+((1250*(S46+S47+S53))+((1250*(S57+S58+S60))+((500*(S52+S51+S49+S48))))))</f>
        <v>0</v>
      </c>
      <c r="T112" s="242">
        <f>(2500*T39)+(2000*T40)+((1500*(T42+T44+T45))+((1250*(T46+T47+T53))+((1250*(T57+T58+T60))+((500*(T52+T51+T49+T48))))))</f>
        <v>1000</v>
      </c>
      <c r="U112" s="242">
        <f>(2500*U39)+(2000*U40)+((1500*(U42+U44+U45))+((1250*(U46+U47+U53))+((1250*(U57+U58+U60))+((500*(U52+U51+U49+U48))))))</f>
        <v>0</v>
      </c>
      <c r="V112" s="242">
        <f t="shared" ref="V112:W112" si="174">(2500*V39)+(2000*V40)+((1500*(V42+V44+V45))+((1250*(V46+V47+V53))+((1250*(V57+V58+V60))+((500*(V52+V51+V49+V48))))))</f>
        <v>0</v>
      </c>
      <c r="W112" s="242">
        <f t="shared" si="174"/>
        <v>0</v>
      </c>
      <c r="X112" s="241">
        <f t="shared" si="132"/>
        <v>28375</v>
      </c>
      <c r="Z112" s="242">
        <f>(2500*Z39)+(2000*Z40)+((1500*(Z42+Z44+Z45))+((1250*(Z46+Z47+Z53))+((1250*(Z57+Z58+Z60))+((500*(Z52+Z51+Z49+Z48))))))+(1000*18)</f>
        <v>31375</v>
      </c>
      <c r="AA112" s="242">
        <f>(2500*AA39)+(2000*AA40)+((1500*(AA42+AA44+AA45))+((1250*(AA46+AA47+AA53))+((1250*(AA57+AA58+AA60))+((500*(AA52+AA51+AA49+AA48))))))</f>
        <v>412.5</v>
      </c>
      <c r="AB112" s="242">
        <f>(2500*AB39)+(2000*AB40)+((1500*(AB42+AB44+AB45))+((1250*(AB46+AB47+AB53))+((1250*(AB57+AB58+AB60))+((500*(AB52+AB51+AB49+AB48))))))</f>
        <v>1000</v>
      </c>
      <c r="AC112" s="242">
        <f>(2500*AC39)+(2000*AC40)+((1500*(AC42+AC44+AC45))+((1250*(AC46+AC47+AC53))+((1250*(AC57+AC58+AC60))+((500*(AC52+AC51+AC49+AC48))))))</f>
        <v>0</v>
      </c>
      <c r="AD112" s="242">
        <f t="shared" ref="AD112:AE112" si="175">(2500*AD39)+(2000*AD40)+((1500*(AD42+AD44+AD45))+((1250*(AD46+AD47+AD53))+((1250*(AD57+AD58+AD60))+((500*(AD52+AD51+AD49+AD48))))))</f>
        <v>0</v>
      </c>
      <c r="AE112" s="242">
        <f t="shared" si="175"/>
        <v>0</v>
      </c>
      <c r="AF112" s="241">
        <f t="shared" si="133"/>
        <v>32787.5</v>
      </c>
      <c r="AH112" s="242">
        <f>(2500*AH39)+(2000*AH40)+((1500*(AH42+AH44+AH45))+((1250*(AH46+AH47+AH53))+((1250*(AH57+AH58+AH60))+((500*(AH52+AH51+AH49+AH48))))))+(1000*25)</f>
        <v>61750</v>
      </c>
      <c r="AI112" s="242">
        <f>(2500*AI39)+(2000*AI40)+((1500*(AI42+AI44+AI45))+((1250*(AI46+AI47+AI53))+((1250*(AI57+AI58+AI60))+((500*(AI52+AI51+AI49+AI48))))))</f>
        <v>625</v>
      </c>
      <c r="AJ112" s="242">
        <f>(2500*AJ39)+(2000*AJ40)+((1500*(AJ42+AJ44+AJ45))+((1250*(AJ46+AJ47+AJ53))+((1250*(AJ57+AJ58+AJ60))+((500*(AJ52+AJ51+AJ49+AJ48))))))</f>
        <v>2000</v>
      </c>
      <c r="AK112" s="242">
        <f>(2500*AK39)+(2000*AK40)+((1500*(AK42+AK44+AK45))+((1250*(AK46+AK47+AK53))+((1250*(AK57+AK58+AK60))+((500*(AK52+AK51+AK49+AK48))))))</f>
        <v>0</v>
      </c>
      <c r="AL112" s="242">
        <f t="shared" ref="AL112:AM112" si="176">(2500*AL39)+(2000*AL40)+((1500*(AL42+AL44+AL45))+((1250*(AL46+AL47+AL53))+((1250*(AL57+AL58+AL60))+((500*(AL52+AL51+AL49+AL48))))))</f>
        <v>0</v>
      </c>
      <c r="AM112" s="242">
        <f t="shared" si="176"/>
        <v>0</v>
      </c>
      <c r="AN112" s="241">
        <f t="shared" si="134"/>
        <v>64375</v>
      </c>
      <c r="AP112" s="242">
        <f>(2500*AP39)+(2000*AP40)+((1500*(AP42+AP44+AP45))+((1250*(AP46+AP47+AP53))+((1250*(AP57+AP58+AP60))+((500*(AP52+AP51+AP49+AP48))))))</f>
        <v>8500</v>
      </c>
      <c r="AQ112" s="242">
        <f>(2500*AQ39)+(2000*AQ40)+((1500*(AQ42+AQ44+AQ45))+((1250*(AQ46+AQ47+AQ53))+((1250*(AQ57+AQ58+AQ60))+((500*(AQ52+AQ51+AQ49+AQ48))))))</f>
        <v>0</v>
      </c>
      <c r="AR112" s="242">
        <f>(2500*AR39)+(2000*AR40)+((1500*(AR42+AR44+AR45))+((1250*(AR46+AR47+AR53))+((1250*(AR57+AR58+AR60))+((500*(AR52+AR51+AR49+AR48))))))</f>
        <v>500</v>
      </c>
      <c r="AS112" s="242">
        <f>(2500*AS39)+(2000*AS40)+((1500*(AS42+AS44+AS45))+((1250*(AS46+AS47+AS53))+((1250*(AS57+AS58+AS60))+((500*(AS52+AS51+AS49+AS48))))))</f>
        <v>0</v>
      </c>
      <c r="AT112" s="242">
        <f t="shared" ref="AT112:AU112" si="177">(2500*AT39)+(2000*AT40)+((1500*(AT42+AT44+AT45))+((1250*(AT46+AT47+AT53))+((1250*(AT57+AT58+AT60))+((500*(AT52+AT51+AT49+AT48))))))</f>
        <v>0</v>
      </c>
      <c r="AU112" s="242">
        <f t="shared" si="177"/>
        <v>0</v>
      </c>
      <c r="AV112" s="241">
        <f t="shared" si="135"/>
        <v>9000</v>
      </c>
      <c r="AX112" s="242">
        <f>(2500*AX39)+(2000*AX40)+((1500*(AX42+AX44+AX45))+((1250*(AX46+AX47+AX53))+((1250*(AX57+AX58+AX60))+((500*(AX52+AX51+AX49+AX48))))))</f>
        <v>0</v>
      </c>
      <c r="AY112" s="242">
        <f>(2500*AY39)+(2000*AY40)+((1500*(AY42+AY44+AY45))+((1250*(AY46+AY47+AY53))+((1250*(AY57+AY58+AY60))+((500*(AY52+AY51+AY49+AY48))))))</f>
        <v>0</v>
      </c>
      <c r="AZ112" s="242">
        <f>(2500*AZ39)+(2000*AZ40)+((1500*(AZ42+AZ44+AZ45))+((1250*(AZ46+AZ47+AZ53))+((1250*(AZ57+AZ58+AZ60))+((500*(AZ52+AZ51+AZ49+AZ48))))))</f>
        <v>0</v>
      </c>
      <c r="BA112" s="242">
        <f>(2500*BA39)+(2000*BA40)+((1500*(BA42+BA44+BA45))+((1250*(BA46+BA47+BA53))+((1250*(BA57+BA58+BA60))+((500*(BA52+BA51+BA49+BA48))))))</f>
        <v>0</v>
      </c>
      <c r="BB112" s="242">
        <f t="shared" ref="BB112:BC112" si="178">(2500*BB39)+(2000*BB40)+((1500*(BB42+BB44+BB45))+((1250*(BB46+BB47+BB53))+((1250*(BB57+BB58+BB60))+((500*(BB52+BB51+BB49+BB48))))))</f>
        <v>0</v>
      </c>
      <c r="BC112" s="242">
        <f t="shared" si="178"/>
        <v>0</v>
      </c>
      <c r="BD112" s="241">
        <f t="shared" si="136"/>
        <v>0</v>
      </c>
      <c r="BF112" s="242">
        <f>(2500*BF39)+(2000*BF40)+((1500*(BF42+BF44+BF45))+((1250*(BF46+BF47+BF53))+((1250*(BF57+BF58+BF60))+((500*(BF52+BF51+BF49+BF48))))))+(1000*1)</f>
        <v>4750</v>
      </c>
      <c r="BG112" s="242">
        <f>(2500*BG39)+(2000*BG40)+((1500*(BG42+BG44+BG45))+((1250*(BG46+BG47+BG53))+((1250*(BG57+BG58+BG60))+((500*(BG52+BG51+BG49+BG48))))))</f>
        <v>0</v>
      </c>
      <c r="BH112" s="242">
        <f>(2500*BH39)+(2000*BH40)+((1500*(BH42+BH44+BH45))+((1250*(BH46+BH47+BH53))+((1250*(BH57+BH58+BH60))+((500*(BH52+BH51+BH49+BH48))))))</f>
        <v>500</v>
      </c>
      <c r="BI112" s="242">
        <f>(2500*BI39)+(2000*BI40)+((1500*(BI42+BI44+BI45))+((1250*(BI46+BI47+BI53))+((1250*(BI57+BI58+BI60))+((500*(BI52+BI51+BI49+BI48))))))</f>
        <v>0</v>
      </c>
      <c r="BJ112" s="242">
        <f t="shared" ref="BJ112:BK112" si="179">(2500*BJ39)+(2000*BJ40)+((1500*(BJ42+BJ44+BJ45))+((1250*(BJ46+BJ47+BJ53))+((1250*(BJ57+BJ58+BJ60))+((500*(BJ52+BJ51+BJ49+BJ48))))))</f>
        <v>0</v>
      </c>
      <c r="BK112" s="242">
        <f t="shared" si="179"/>
        <v>0</v>
      </c>
      <c r="BL112" s="241">
        <f t="shared" si="137"/>
        <v>5250</v>
      </c>
      <c r="BN112" s="241">
        <f t="shared" si="171"/>
        <v>220000</v>
      </c>
      <c r="BO112" s="241">
        <f t="shared" si="159"/>
        <v>1037.5</v>
      </c>
      <c r="BP112" s="241">
        <f t="shared" si="159"/>
        <v>9000</v>
      </c>
      <c r="BQ112" s="241">
        <f t="shared" si="159"/>
        <v>0</v>
      </c>
      <c r="BR112" s="241">
        <f t="shared" si="159"/>
        <v>0</v>
      </c>
      <c r="BS112" s="241">
        <f t="shared" si="159"/>
        <v>0</v>
      </c>
      <c r="BT112" s="241">
        <f t="shared" si="160"/>
        <v>230037.5</v>
      </c>
    </row>
    <row r="113" spans="1:72" x14ac:dyDescent="0.25">
      <c r="A113" s="201" t="s">
        <v>246</v>
      </c>
      <c r="B113" s="242">
        <f>(500*B39)+(250*B40)+((175*(B42+B44+B45))+((175*(B46+B47+B53))+((175*(B57+B58+B60))+((75*(B52+B51+B49+B48))))))*1.09+(175*10)</f>
        <v>3981</v>
      </c>
      <c r="C113" s="242">
        <f>(500*C39)+(250*C40)+((175*(C42+C44+C45))+((175*(C46+C47+C53))+((175*(C57+C58+C60))+((75*(C52+C51+C49+C48))))))*1.09</f>
        <v>0</v>
      </c>
      <c r="D113" s="242">
        <f t="shared" ref="D113:G113" si="180">(500*D39)+(250*D40)+((175*(D42+D44+D45))+((175*(D46+D47+D53))+((175*(D57+D58+D60))+((75*(D52+D51+D49+D48))))))*1.09</f>
        <v>163.5</v>
      </c>
      <c r="E113" s="242">
        <f t="shared" si="180"/>
        <v>0</v>
      </c>
      <c r="F113" s="242">
        <f t="shared" si="180"/>
        <v>0</v>
      </c>
      <c r="G113" s="242">
        <f t="shared" si="180"/>
        <v>0</v>
      </c>
      <c r="H113" s="241">
        <f t="shared" si="130"/>
        <v>4144.5</v>
      </c>
      <c r="J113" s="242">
        <f>(500*J39)+(250*J40)+((175*(J42+J44+J45))+((175*(J46+J47+J53))+((175*(J57+J58+J60))+((75*(J52+J51+J49+J48))))))*1.09+(175*20)</f>
        <v>10078</v>
      </c>
      <c r="K113" s="242">
        <f>(500*K39)+(250*K40)+((175*(K42+K44+K45))+((175*(K46+K47+K53))+((175*(K57+K58+K60))+((75*(K52+K51+K49+K48))))))*1.09</f>
        <v>0</v>
      </c>
      <c r="L113" s="242">
        <f t="shared" ref="L113:O113" si="181">(500*L39)+(250*L40)+((175*(L42+L44+L45))+((175*(L46+L47+L53))+((175*(L57+L58+L60))+((75*(L52+L51+L49+L48))))))*1.09</f>
        <v>490.50000000000006</v>
      </c>
      <c r="M113" s="242">
        <f t="shared" si="181"/>
        <v>0</v>
      </c>
      <c r="N113" s="242">
        <f t="shared" si="181"/>
        <v>0</v>
      </c>
      <c r="O113" s="242">
        <f t="shared" si="181"/>
        <v>0</v>
      </c>
      <c r="P113" s="241">
        <f t="shared" si="131"/>
        <v>10568.5</v>
      </c>
      <c r="R113" s="242">
        <f>(500*R39)+(250*R40)+((175*(R42+R44+R45))+((175*(R46+R47+R53))+((175*(R57+R58+R60))+((75*(R52+R51+R49+R48))))))*1.09+(175*15)</f>
        <v>5223.875</v>
      </c>
      <c r="S113" s="242">
        <f>(500*S39)+(250*S40)+((175*(S42+S44+S45))+((175*(S46+S47+S53))+((175*(S57+S58+S60))+((75*(S52+S51+S49+S48))))))*1.09</f>
        <v>0</v>
      </c>
      <c r="T113" s="242">
        <f t="shared" ref="T113:W113" si="182">(500*T39)+(250*T40)+((175*(T42+T44+T45))+((175*(T46+T47+T53))+((175*(T57+T58+T60))+((75*(T52+T51+T49+T48))))))*1.09</f>
        <v>163.5</v>
      </c>
      <c r="U113" s="242">
        <f t="shared" si="182"/>
        <v>0</v>
      </c>
      <c r="V113" s="242">
        <f t="shared" si="182"/>
        <v>0</v>
      </c>
      <c r="W113" s="242">
        <f t="shared" si="182"/>
        <v>0</v>
      </c>
      <c r="X113" s="241">
        <f t="shared" si="132"/>
        <v>5387.375</v>
      </c>
      <c r="Z113" s="242">
        <f>(500*Z39)+(250*Z40)+((175*(Z42+Z44+Z45))+((175*(Z46+Z47+Z53))+((175*(Z57+Z58+Z60))+((75*(Z52+Z51+Z49+Z48))))))*1.09+(175*15)</f>
        <v>4701.375</v>
      </c>
      <c r="AA113" s="242">
        <f>(500*AA39)+(250*AA40)+((175*(AA42+AA44+AA45))+((175*(AA46+AA47+AA53))+((175*(AA57+AA58+AA60))+((75*(AA52+AA51+AA49+AA48))))))*1.09</f>
        <v>62.947500000000005</v>
      </c>
      <c r="AB113" s="242">
        <f t="shared" ref="AB113:AE113" si="183">(500*AB39)+(250*AB40)+((175*(AB42+AB44+AB45))+((175*(AB46+AB47+AB53))+((175*(AB57+AB58+AB60))+((75*(AB52+AB51+AB49+AB48))))))*1.09</f>
        <v>163.5</v>
      </c>
      <c r="AC113" s="242">
        <f t="shared" si="183"/>
        <v>0</v>
      </c>
      <c r="AD113" s="242">
        <f t="shared" si="183"/>
        <v>0</v>
      </c>
      <c r="AE113" s="242">
        <f t="shared" si="183"/>
        <v>0</v>
      </c>
      <c r="AF113" s="241">
        <f t="shared" si="133"/>
        <v>4927.8225000000002</v>
      </c>
      <c r="AH113" s="242">
        <f>(500*AH39)+(250*AH40)+((175*(AH42+AH44+AH45))+((175*(AH46+AH47+AH53))+((175*(AH57+AH58+AH60))+((75*(AH52+AH51+AH49+AH48))))))*1.09+(175*15)</f>
        <v>7940</v>
      </c>
      <c r="AI113" s="242">
        <f>(500*AI39)+(250*AI40)+((175*(AI42+AI44+AI45))+((175*(AI46+AI47+AI53))+((175*(AI57+AI58+AI60))+((75*(AI52+AI51+AI49+AI48))))))*1.09</f>
        <v>95.375</v>
      </c>
      <c r="AJ113" s="242">
        <f t="shared" ref="AJ113:AM113" si="184">(500*AJ39)+(250*AJ40)+((175*(AJ42+AJ44+AJ45))+((175*(AJ46+AJ47+AJ53))+((175*(AJ57+AJ58+AJ60))+((75*(AJ52+AJ51+AJ49+AJ48))))))*1.09</f>
        <v>327</v>
      </c>
      <c r="AK113" s="242">
        <f t="shared" si="184"/>
        <v>0</v>
      </c>
      <c r="AL113" s="242">
        <f t="shared" si="184"/>
        <v>0</v>
      </c>
      <c r="AM113" s="242">
        <f t="shared" si="184"/>
        <v>0</v>
      </c>
      <c r="AN113" s="241">
        <f t="shared" si="134"/>
        <v>8362.375</v>
      </c>
      <c r="AP113" s="242">
        <f>(500*AP39)+(250*AP40)+((175*(AP42+AP44+AP45))+((175*(AP46+AP47+AP53))+((175*(AP57+AP58+AP60))+((75*(AP52+AP51+AP49+AP48))))))*1.09+(175*10)</f>
        <v>3126.75</v>
      </c>
      <c r="AQ113" s="242">
        <f>(500*AQ39)+(250*AQ40)+((175*(AQ42+AQ44+AQ45))+((175*(AQ46+AQ47+AQ53))+((175*(AQ57+AQ58+AQ60))+((75*(AQ52+AQ51+AQ49+AQ48))))))*1.09</f>
        <v>0</v>
      </c>
      <c r="AR113" s="242">
        <f t="shared" ref="AR113:AU113" si="185">(500*AR39)+(250*AR40)+((175*(AR42+AR44+AR45))+((175*(AR46+AR47+AR53))+((175*(AR57+AR58+AR60))+((75*(AR52+AR51+AR49+AR48))))))*1.09</f>
        <v>81.75</v>
      </c>
      <c r="AS113" s="242">
        <f t="shared" si="185"/>
        <v>0</v>
      </c>
      <c r="AT113" s="242">
        <f t="shared" si="185"/>
        <v>0</v>
      </c>
      <c r="AU113" s="242">
        <f t="shared" si="185"/>
        <v>0</v>
      </c>
      <c r="AV113" s="241">
        <f t="shared" si="135"/>
        <v>3208.5</v>
      </c>
      <c r="AX113" s="242">
        <f>(500*AX39)+(250*AX40)+((175*(AX42+AX44+AX45))+((175*(AX46+AX47+AX53))+((175*(AX57+AX58+AX60))+((75*(AX52+AX51+AX49+AX48))))))*1.09</f>
        <v>0</v>
      </c>
      <c r="AY113" s="242">
        <f>(500*AY39)+(250*AY40)+((175*(AY42+AY44+AY45))+((175*(AY46+AY47+AY53))+((175*(AY57+AY58+AY60))+((75*(AY52+AY51+AY49+AY48))))))*1.09</f>
        <v>0</v>
      </c>
      <c r="AZ113" s="242">
        <f t="shared" ref="AZ113:BC113" si="186">(500*AZ39)+(250*AZ40)+((175*(AZ42+AZ44+AZ45))+((175*(AZ46+AZ47+AZ53))+((175*(AZ57+AZ58+AZ60))+((75*(AZ52+AZ51+AZ49+AZ48))))))*1.09</f>
        <v>0</v>
      </c>
      <c r="BA113" s="242">
        <f t="shared" si="186"/>
        <v>0</v>
      </c>
      <c r="BB113" s="242">
        <f t="shared" si="186"/>
        <v>0</v>
      </c>
      <c r="BC113" s="242">
        <f t="shared" si="186"/>
        <v>0</v>
      </c>
      <c r="BD113" s="241">
        <f t="shared" si="136"/>
        <v>0</v>
      </c>
      <c r="BF113" s="242">
        <f>(500*BF39)+(250*BF40)+((175*(BF42+BF44+BF45))+((175*(BF46+BF47+BF53))+((175*(BF57+BF58+BF60))+((75*(BF52+BF51+BF49+BF48))))))*1.09+(175*5)</f>
        <v>1397.5</v>
      </c>
      <c r="BG113" s="242">
        <f>(500*BG39)+(250*BG40)+((175*(BG42+BG44+BG45))+((175*(BG46+BG47+BG53))+((175*(BG57+BG58+BG60))+((75*(BG52+BG51+BG49+BG48))))))*1.09</f>
        <v>0</v>
      </c>
      <c r="BH113" s="242">
        <f t="shared" ref="BH113:BK113" si="187">(500*BH39)+(250*BH40)+((175*(BH42+BH44+BH45))+((175*(BH46+BH47+BH53))+((175*(BH57+BH58+BH60))+((75*(BH52+BH51+BH49+BH48))))))*1.09</f>
        <v>81.75</v>
      </c>
      <c r="BI113" s="242">
        <f t="shared" si="187"/>
        <v>0</v>
      </c>
      <c r="BJ113" s="242">
        <f t="shared" si="187"/>
        <v>0</v>
      </c>
      <c r="BK113" s="242">
        <f t="shared" si="187"/>
        <v>0</v>
      </c>
      <c r="BL113" s="241">
        <f t="shared" si="137"/>
        <v>1479.25</v>
      </c>
      <c r="BN113" s="241">
        <f t="shared" si="171"/>
        <v>36448.5</v>
      </c>
      <c r="BO113" s="241">
        <f t="shared" si="159"/>
        <v>158.32249999999999</v>
      </c>
      <c r="BP113" s="241">
        <f t="shared" si="159"/>
        <v>1471.5</v>
      </c>
      <c r="BQ113" s="241">
        <f t="shared" si="159"/>
        <v>0</v>
      </c>
      <c r="BR113" s="241">
        <f t="shared" si="159"/>
        <v>0</v>
      </c>
      <c r="BS113" s="241">
        <f t="shared" si="159"/>
        <v>0</v>
      </c>
      <c r="BT113" s="241">
        <f t="shared" si="160"/>
        <v>38078.322500000002</v>
      </c>
    </row>
    <row r="114" spans="1:72" x14ac:dyDescent="0.25">
      <c r="A114" s="201" t="s">
        <v>247</v>
      </c>
      <c r="B114" s="244"/>
      <c r="C114" s="244"/>
      <c r="D114" s="244"/>
      <c r="E114" s="244"/>
      <c r="F114" s="244"/>
      <c r="G114" s="244"/>
      <c r="H114" s="241">
        <f t="shared" si="130"/>
        <v>0</v>
      </c>
      <c r="J114" s="244"/>
      <c r="K114" s="244"/>
      <c r="L114" s="244"/>
      <c r="M114" s="244"/>
      <c r="N114" s="244"/>
      <c r="O114" s="244"/>
      <c r="P114" s="241">
        <f t="shared" si="131"/>
        <v>0</v>
      </c>
      <c r="R114" s="244"/>
      <c r="S114" s="244"/>
      <c r="T114" s="244"/>
      <c r="U114" s="244"/>
      <c r="V114" s="244"/>
      <c r="W114" s="244"/>
      <c r="X114" s="241">
        <f t="shared" si="132"/>
        <v>0</v>
      </c>
      <c r="Z114" s="244"/>
      <c r="AA114" s="244"/>
      <c r="AB114" s="244"/>
      <c r="AC114" s="244"/>
      <c r="AD114" s="244"/>
      <c r="AE114" s="244"/>
      <c r="AF114" s="241">
        <f t="shared" si="133"/>
        <v>0</v>
      </c>
      <c r="AH114" s="244">
        <v>2500</v>
      </c>
      <c r="AI114" s="244"/>
      <c r="AJ114" s="244"/>
      <c r="AK114" s="244"/>
      <c r="AL114" s="244"/>
      <c r="AM114" s="244"/>
      <c r="AN114" s="241">
        <f t="shared" si="134"/>
        <v>2500</v>
      </c>
      <c r="AP114" s="244">
        <v>2500</v>
      </c>
      <c r="AQ114" s="244"/>
      <c r="AR114" s="244"/>
      <c r="AS114" s="244"/>
      <c r="AT114" s="244"/>
      <c r="AU114" s="244"/>
      <c r="AV114" s="241">
        <f t="shared" si="135"/>
        <v>2500</v>
      </c>
      <c r="AX114" s="244"/>
      <c r="AY114" s="244"/>
      <c r="AZ114" s="244"/>
      <c r="BA114" s="244"/>
      <c r="BB114" s="244"/>
      <c r="BC114" s="244"/>
      <c r="BD114" s="241">
        <f t="shared" si="136"/>
        <v>0</v>
      </c>
      <c r="BF114" s="242">
        <v>10000</v>
      </c>
      <c r="BG114" s="242"/>
      <c r="BH114" s="242"/>
      <c r="BI114" s="242"/>
      <c r="BJ114" s="242"/>
      <c r="BK114" s="242"/>
      <c r="BL114" s="241">
        <f t="shared" si="137"/>
        <v>10000</v>
      </c>
      <c r="BN114" s="241">
        <f t="shared" si="171"/>
        <v>15000</v>
      </c>
      <c r="BO114" s="241">
        <f t="shared" si="159"/>
        <v>0</v>
      </c>
      <c r="BP114" s="241">
        <f t="shared" si="159"/>
        <v>0</v>
      </c>
      <c r="BQ114" s="241">
        <f t="shared" si="159"/>
        <v>0</v>
      </c>
      <c r="BR114" s="241">
        <f t="shared" si="159"/>
        <v>0</v>
      </c>
      <c r="BS114" s="241">
        <f t="shared" si="159"/>
        <v>0</v>
      </c>
      <c r="BT114" s="241">
        <f t="shared" si="160"/>
        <v>15000</v>
      </c>
    </row>
    <row r="115" spans="1:72" x14ac:dyDescent="0.25">
      <c r="A115" s="202" t="s">
        <v>248</v>
      </c>
      <c r="B115" s="245">
        <v>3000</v>
      </c>
      <c r="C115" s="245"/>
      <c r="D115" s="245"/>
      <c r="E115" s="245"/>
      <c r="F115" s="245"/>
      <c r="G115" s="245"/>
      <c r="H115" s="241">
        <f t="shared" si="130"/>
        <v>3000</v>
      </c>
      <c r="J115" s="245">
        <v>3000</v>
      </c>
      <c r="K115" s="245"/>
      <c r="L115" s="245"/>
      <c r="M115" s="245"/>
      <c r="N115" s="245"/>
      <c r="O115" s="245"/>
      <c r="P115" s="241">
        <f t="shared" si="131"/>
        <v>3000</v>
      </c>
      <c r="R115" s="245">
        <v>3000</v>
      </c>
      <c r="S115" s="245"/>
      <c r="T115" s="245"/>
      <c r="U115" s="245"/>
      <c r="V115" s="245"/>
      <c r="W115" s="245"/>
      <c r="X115" s="241">
        <f t="shared" si="132"/>
        <v>3000</v>
      </c>
      <c r="Z115" s="245">
        <v>3000</v>
      </c>
      <c r="AA115" s="245"/>
      <c r="AB115" s="245"/>
      <c r="AC115" s="245"/>
      <c r="AD115" s="245"/>
      <c r="AE115" s="245"/>
      <c r="AF115" s="241">
        <f t="shared" si="133"/>
        <v>3000</v>
      </c>
      <c r="AH115" s="245">
        <v>3000</v>
      </c>
      <c r="AI115" s="245"/>
      <c r="AJ115" s="245"/>
      <c r="AK115" s="245"/>
      <c r="AL115" s="245"/>
      <c r="AM115" s="245"/>
      <c r="AN115" s="241">
        <f t="shared" si="134"/>
        <v>3000</v>
      </c>
      <c r="AP115" s="245">
        <v>0</v>
      </c>
      <c r="AQ115" s="245"/>
      <c r="AR115" s="245"/>
      <c r="AS115" s="245"/>
      <c r="AT115" s="245"/>
      <c r="AU115" s="245"/>
      <c r="AV115" s="241">
        <f t="shared" si="135"/>
        <v>0</v>
      </c>
      <c r="AX115" s="245">
        <v>0</v>
      </c>
      <c r="AY115" s="245"/>
      <c r="AZ115" s="245"/>
      <c r="BA115" s="245"/>
      <c r="BB115" s="245"/>
      <c r="BC115" s="245"/>
      <c r="BD115" s="241">
        <f t="shared" si="136"/>
        <v>0</v>
      </c>
      <c r="BF115" s="282"/>
      <c r="BG115" s="282"/>
      <c r="BH115" s="282"/>
      <c r="BI115" s="282"/>
      <c r="BJ115" s="282"/>
      <c r="BK115" s="282"/>
      <c r="BL115" s="241">
        <f t="shared" si="137"/>
        <v>0</v>
      </c>
      <c r="BN115" s="241">
        <f t="shared" si="171"/>
        <v>15000</v>
      </c>
      <c r="BO115" s="241">
        <f t="shared" si="159"/>
        <v>0</v>
      </c>
      <c r="BP115" s="241">
        <f t="shared" si="159"/>
        <v>0</v>
      </c>
      <c r="BQ115" s="241">
        <f t="shared" si="159"/>
        <v>0</v>
      </c>
      <c r="BR115" s="241">
        <f t="shared" si="159"/>
        <v>0</v>
      </c>
      <c r="BS115" s="241">
        <f t="shared" si="159"/>
        <v>0</v>
      </c>
      <c r="BT115" s="241">
        <f t="shared" si="160"/>
        <v>15000</v>
      </c>
    </row>
    <row r="116" spans="1:72" x14ac:dyDescent="0.25">
      <c r="A116" s="207" t="s">
        <v>330</v>
      </c>
      <c r="B116" s="258">
        <f>SUM(B110:B115)</f>
        <v>426718.65086400002</v>
      </c>
      <c r="C116" s="258">
        <f t="shared" ref="C116:H116" si="188">SUM(C110:C115)</f>
        <v>79098.71875</v>
      </c>
      <c r="D116" s="258">
        <f t="shared" si="188"/>
        <v>32793.175000000003</v>
      </c>
      <c r="E116" s="258">
        <f t="shared" si="188"/>
        <v>0</v>
      </c>
      <c r="F116" s="258">
        <f t="shared" si="188"/>
        <v>0</v>
      </c>
      <c r="G116" s="258">
        <f t="shared" si="188"/>
        <v>0</v>
      </c>
      <c r="H116" s="258">
        <f t="shared" si="188"/>
        <v>538610.54461400001</v>
      </c>
      <c r="J116" s="258">
        <f>SUM(J110:J115)</f>
        <v>1513008.9376150002</v>
      </c>
      <c r="K116" s="258">
        <f t="shared" ref="K116:P116" si="189">SUM(K110:K115)</f>
        <v>128373.28700000001</v>
      </c>
      <c r="L116" s="258">
        <f t="shared" si="189"/>
        <v>100732.6875</v>
      </c>
      <c r="M116" s="258">
        <f t="shared" si="189"/>
        <v>0</v>
      </c>
      <c r="N116" s="258">
        <f t="shared" si="189"/>
        <v>0</v>
      </c>
      <c r="O116" s="258">
        <f t="shared" si="189"/>
        <v>0</v>
      </c>
      <c r="P116" s="258">
        <f t="shared" si="189"/>
        <v>1742114.9121150004</v>
      </c>
      <c r="R116" s="258">
        <f>SUM(R110:R115)</f>
        <v>561954.27567450004</v>
      </c>
      <c r="S116" s="258">
        <f t="shared" ref="S116:X116" si="190">SUM(S110:S115)</f>
        <v>65343.298025000004</v>
      </c>
      <c r="T116" s="258">
        <f t="shared" si="190"/>
        <v>39337.171875</v>
      </c>
      <c r="U116" s="258">
        <f t="shared" si="190"/>
        <v>0</v>
      </c>
      <c r="V116" s="258">
        <f t="shared" si="190"/>
        <v>0</v>
      </c>
      <c r="W116" s="258">
        <f t="shared" si="190"/>
        <v>0</v>
      </c>
      <c r="X116" s="258">
        <f t="shared" si="190"/>
        <v>666634.74557449995</v>
      </c>
      <c r="Z116" s="258">
        <f>SUM(Z110:Z115)</f>
        <v>461627.7525615</v>
      </c>
      <c r="AA116" s="258">
        <f t="shared" ref="AA116:AF116" si="191">SUM(AA110:AA115)</f>
        <v>97927.107799999998</v>
      </c>
      <c r="AB116" s="258">
        <f t="shared" si="191"/>
        <v>36648.8125</v>
      </c>
      <c r="AC116" s="258">
        <f t="shared" si="191"/>
        <v>0</v>
      </c>
      <c r="AD116" s="258">
        <f t="shared" si="191"/>
        <v>0</v>
      </c>
      <c r="AE116" s="258">
        <f t="shared" si="191"/>
        <v>0</v>
      </c>
      <c r="AF116" s="258">
        <f t="shared" si="191"/>
        <v>596203.67286149994</v>
      </c>
      <c r="AH116" s="258">
        <f>SUM(AH110:AH115)</f>
        <v>1236825.45545</v>
      </c>
      <c r="AI116" s="258">
        <f t="shared" ref="AI116:AN116" si="192">SUM(AI110:AI115)</f>
        <v>50983.31</v>
      </c>
      <c r="AJ116" s="258">
        <f t="shared" si="192"/>
        <v>62072.9375</v>
      </c>
      <c r="AK116" s="258">
        <f t="shared" si="192"/>
        <v>0</v>
      </c>
      <c r="AL116" s="258">
        <f t="shared" si="192"/>
        <v>0</v>
      </c>
      <c r="AM116" s="258">
        <f t="shared" si="192"/>
        <v>0</v>
      </c>
      <c r="AN116" s="258">
        <f t="shared" si="192"/>
        <v>1349881.7029499998</v>
      </c>
      <c r="AP116" s="258">
        <f>SUM(AP110:AP115)</f>
        <v>247079.04250000001</v>
      </c>
      <c r="AQ116" s="258">
        <f t="shared" ref="AQ116:AV116" si="193">SUM(AQ110:AQ115)</f>
        <v>38512.5</v>
      </c>
      <c r="AR116" s="258">
        <f t="shared" si="193"/>
        <v>17183.202499999999</v>
      </c>
      <c r="AS116" s="258">
        <f t="shared" si="193"/>
        <v>0</v>
      </c>
      <c r="AT116" s="258">
        <f t="shared" si="193"/>
        <v>0</v>
      </c>
      <c r="AU116" s="258">
        <f t="shared" si="193"/>
        <v>0</v>
      </c>
      <c r="AV116" s="258">
        <f t="shared" si="193"/>
        <v>302774.745</v>
      </c>
      <c r="AX116" s="258">
        <f>SUM(AX110:AX115)</f>
        <v>0</v>
      </c>
      <c r="AY116" s="258">
        <f t="shared" ref="AY116:BD116" si="194">SUM(AY110:AY115)</f>
        <v>0</v>
      </c>
      <c r="AZ116" s="258">
        <f t="shared" si="194"/>
        <v>0</v>
      </c>
      <c r="BA116" s="258">
        <f t="shared" si="194"/>
        <v>0</v>
      </c>
      <c r="BB116" s="258">
        <f t="shared" si="194"/>
        <v>0</v>
      </c>
      <c r="BC116" s="258">
        <f t="shared" si="194"/>
        <v>0</v>
      </c>
      <c r="BD116" s="258">
        <f t="shared" si="194"/>
        <v>0</v>
      </c>
      <c r="BF116" s="258">
        <f>SUM(BF110:BF115)</f>
        <v>148050.97500000001</v>
      </c>
      <c r="BG116" s="258">
        <f t="shared" ref="BG116:BL116" si="195">SUM(BG110:BG115)</f>
        <v>0</v>
      </c>
      <c r="BH116" s="258">
        <f t="shared" si="195"/>
        <v>12813.59375</v>
      </c>
      <c r="BI116" s="258">
        <f t="shared" si="195"/>
        <v>0</v>
      </c>
      <c r="BJ116" s="258">
        <f t="shared" si="195"/>
        <v>0</v>
      </c>
      <c r="BK116" s="258">
        <f t="shared" si="195"/>
        <v>0</v>
      </c>
      <c r="BL116" s="258">
        <f t="shared" si="195"/>
        <v>160864.56875000001</v>
      </c>
      <c r="BN116" s="258">
        <f>SUM(BN110:BN115)</f>
        <v>4595265.0896650003</v>
      </c>
      <c r="BO116" s="258">
        <f t="shared" ref="BO116:BT116" si="196">SUM(BO110:BO115)</f>
        <v>460238.22157500003</v>
      </c>
      <c r="BP116" s="258">
        <f t="shared" si="196"/>
        <v>301581.58062500006</v>
      </c>
      <c r="BQ116" s="258">
        <f t="shared" si="196"/>
        <v>0</v>
      </c>
      <c r="BR116" s="258">
        <f t="shared" si="196"/>
        <v>0</v>
      </c>
      <c r="BS116" s="258">
        <f t="shared" si="196"/>
        <v>0</v>
      </c>
      <c r="BT116" s="258">
        <f t="shared" si="196"/>
        <v>5357084.8918650001</v>
      </c>
    </row>
    <row r="117" spans="1:72" x14ac:dyDescent="0.25">
      <c r="B117" s="259"/>
      <c r="C117" s="259"/>
      <c r="D117" s="259"/>
      <c r="E117" s="259"/>
      <c r="F117" s="259"/>
      <c r="G117" s="259"/>
      <c r="H117" s="259"/>
    </row>
    <row r="118" spans="1:72" x14ac:dyDescent="0.25">
      <c r="A118" s="208" t="s">
        <v>331</v>
      </c>
      <c r="B118" s="260" t="s">
        <v>309</v>
      </c>
      <c r="C118" s="260" t="s">
        <v>310</v>
      </c>
      <c r="D118" s="260" t="s">
        <v>311</v>
      </c>
      <c r="E118" s="260" t="str">
        <f>E91</f>
        <v>Other</v>
      </c>
      <c r="F118" s="260" t="s">
        <v>315</v>
      </c>
      <c r="G118" s="260" t="s">
        <v>314</v>
      </c>
      <c r="H118" s="261" t="str">
        <f>H91</f>
        <v>Horizon</v>
      </c>
      <c r="J118" s="260" t="s">
        <v>309</v>
      </c>
      <c r="K118" s="260" t="s">
        <v>310</v>
      </c>
      <c r="L118" s="260" t="s">
        <v>311</v>
      </c>
      <c r="M118" s="260" t="str">
        <f>M91</f>
        <v>Other</v>
      </c>
      <c r="N118" s="260" t="s">
        <v>315</v>
      </c>
      <c r="O118" s="260" t="s">
        <v>314</v>
      </c>
      <c r="P118" s="261" t="str">
        <f>P91</f>
        <v>Cadence</v>
      </c>
      <c r="R118" s="260" t="s">
        <v>309</v>
      </c>
      <c r="S118" s="260" t="s">
        <v>310</v>
      </c>
      <c r="T118" s="260" t="s">
        <v>311</v>
      </c>
      <c r="U118" s="260" t="str">
        <f>U91</f>
        <v>Other</v>
      </c>
      <c r="V118" s="260" t="s">
        <v>315</v>
      </c>
      <c r="W118" s="260" t="s">
        <v>314</v>
      </c>
      <c r="X118" s="261" t="str">
        <f>X91</f>
        <v>St. Rose</v>
      </c>
      <c r="Z118" s="260" t="s">
        <v>309</v>
      </c>
      <c r="AA118" s="260" t="s">
        <v>310</v>
      </c>
      <c r="AB118" s="260" t="s">
        <v>311</v>
      </c>
      <c r="AC118" s="260" t="str">
        <f>AC91</f>
        <v>Other</v>
      </c>
      <c r="AD118" s="260" t="s">
        <v>315</v>
      </c>
      <c r="AE118" s="260" t="s">
        <v>314</v>
      </c>
      <c r="AF118" s="261" t="str">
        <f>AF91</f>
        <v>Inspirada</v>
      </c>
      <c r="AH118" s="260" t="s">
        <v>309</v>
      </c>
      <c r="AI118" s="260" t="s">
        <v>310</v>
      </c>
      <c r="AJ118" s="260" t="s">
        <v>311</v>
      </c>
      <c r="AK118" s="260" t="str">
        <f>AK91</f>
        <v>Other</v>
      </c>
      <c r="AL118" s="260" t="s">
        <v>315</v>
      </c>
      <c r="AM118" s="260" t="s">
        <v>314</v>
      </c>
      <c r="AN118" s="261" t="str">
        <f>AN91</f>
        <v>Sloan</v>
      </c>
      <c r="AP118" s="260" t="s">
        <v>309</v>
      </c>
      <c r="AQ118" s="260" t="s">
        <v>310</v>
      </c>
      <c r="AR118" s="260" t="s">
        <v>311</v>
      </c>
      <c r="AS118" s="260" t="str">
        <f>AS91</f>
        <v>Other</v>
      </c>
      <c r="AT118" s="260" t="s">
        <v>315</v>
      </c>
      <c r="AU118" s="260" t="s">
        <v>314</v>
      </c>
      <c r="AV118" s="261" t="str">
        <f>AV91</f>
        <v>Springs</v>
      </c>
      <c r="AX118" s="260" t="s">
        <v>309</v>
      </c>
      <c r="AY118" s="260" t="s">
        <v>310</v>
      </c>
      <c r="AZ118" s="260" t="s">
        <v>311</v>
      </c>
      <c r="BA118" s="260" t="str">
        <f>BA91</f>
        <v>Other</v>
      </c>
      <c r="BB118" s="260" t="s">
        <v>315</v>
      </c>
      <c r="BC118" s="260" t="s">
        <v>314</v>
      </c>
      <c r="BD118" s="261" t="str">
        <f>BD91</f>
        <v>Virtual</v>
      </c>
      <c r="BF118" s="260" t="s">
        <v>309</v>
      </c>
      <c r="BG118" s="260" t="s">
        <v>310</v>
      </c>
      <c r="BH118" s="260" t="s">
        <v>311</v>
      </c>
      <c r="BI118" s="260" t="str">
        <f>BI91</f>
        <v>Other</v>
      </c>
      <c r="BJ118" s="260" t="s">
        <v>315</v>
      </c>
      <c r="BK118" s="260" t="s">
        <v>314</v>
      </c>
      <c r="BL118" s="261" t="str">
        <f>BL91</f>
        <v>Central</v>
      </c>
      <c r="BN118" s="260" t="s">
        <v>309</v>
      </c>
      <c r="BO118" s="260" t="s">
        <v>310</v>
      </c>
      <c r="BP118" s="260" t="s">
        <v>311</v>
      </c>
      <c r="BQ118" s="260" t="str">
        <f>BQ91</f>
        <v>Other</v>
      </c>
      <c r="BR118" s="260" t="s">
        <v>315</v>
      </c>
      <c r="BS118" s="260" t="s">
        <v>314</v>
      </c>
      <c r="BT118" s="261" t="str">
        <f>BT91</f>
        <v>System</v>
      </c>
    </row>
    <row r="119" spans="1:72" x14ac:dyDescent="0.25">
      <c r="A119" s="200" t="s">
        <v>249</v>
      </c>
      <c r="B119" s="257">
        <f>84915*1.01</f>
        <v>85764.15</v>
      </c>
      <c r="C119" s="257"/>
      <c r="D119" s="257"/>
      <c r="E119" s="257"/>
      <c r="F119" s="257">
        <v>65000</v>
      </c>
      <c r="G119" s="257"/>
      <c r="H119" s="241">
        <f t="shared" ref="H119:H131" si="197">SUM(B119:G119)</f>
        <v>150764.15</v>
      </c>
      <c r="J119" s="241">
        <f>(81000+75000+80000)*1.01</f>
        <v>238360</v>
      </c>
      <c r="K119" s="241"/>
      <c r="L119" s="257"/>
      <c r="M119" s="257"/>
      <c r="N119" s="257"/>
      <c r="O119" s="257"/>
      <c r="P119" s="241">
        <f t="shared" ref="P119:P131" si="198">SUM(J119:O119)</f>
        <v>238360</v>
      </c>
      <c r="R119" s="241">
        <f>77500*1.01</f>
        <v>78275</v>
      </c>
      <c r="S119" s="241"/>
      <c r="T119" s="257"/>
      <c r="U119" s="257"/>
      <c r="V119" s="257">
        <v>0</v>
      </c>
      <c r="W119" s="257"/>
      <c r="X119" s="241">
        <f t="shared" ref="X119:X131" si="199">SUM(R119:W119)</f>
        <v>78275</v>
      </c>
      <c r="Z119" s="241">
        <f>(75706+84460+88000)*1.01</f>
        <v>250647.66</v>
      </c>
      <c r="AA119" s="241"/>
      <c r="AB119" s="257"/>
      <c r="AC119" s="257"/>
      <c r="AD119" s="257"/>
      <c r="AE119" s="257"/>
      <c r="AF119" s="241">
        <f t="shared" ref="AF119:AF131" si="200">SUM(Z119:AE119)</f>
        <v>250647.66</v>
      </c>
      <c r="AH119" s="241">
        <f>(72000+74500)*1.01</f>
        <v>147965</v>
      </c>
      <c r="AI119" s="241"/>
      <c r="AJ119" s="257"/>
      <c r="AK119" s="257"/>
      <c r="AL119" s="257">
        <v>0</v>
      </c>
      <c r="AM119" s="257"/>
      <c r="AN119" s="241">
        <f t="shared" ref="AN119:AN131" si="201">SUM(AH119:AM119)</f>
        <v>147965</v>
      </c>
      <c r="AP119" s="241"/>
      <c r="AQ119" s="241"/>
      <c r="AR119" s="257"/>
      <c r="AS119" s="257"/>
      <c r="AT119" s="257"/>
      <c r="AU119" s="257"/>
      <c r="AV119" s="241">
        <f t="shared" ref="AV119:AV131" si="202">SUM(AP119:AU119)</f>
        <v>0</v>
      </c>
      <c r="AX119" s="241"/>
      <c r="AY119" s="241"/>
      <c r="AZ119" s="257"/>
      <c r="BA119" s="257"/>
      <c r="BB119" s="257"/>
      <c r="BC119" s="257"/>
      <c r="BD119" s="241">
        <f t="shared" ref="BD119:BD131" si="203">SUM(AX119:BC119)</f>
        <v>0</v>
      </c>
      <c r="BF119" s="257">
        <v>0</v>
      </c>
      <c r="BG119" s="257"/>
      <c r="BH119" s="257"/>
      <c r="BI119" s="257"/>
      <c r="BJ119" s="257">
        <f>(95000+1500+1000)*1.01</f>
        <v>98475</v>
      </c>
      <c r="BK119" s="257"/>
      <c r="BL119" s="241">
        <f t="shared" ref="BL119:BL131" si="204">SUM(BF119:BK119)</f>
        <v>98475</v>
      </c>
      <c r="BN119" s="241">
        <f>B119+J119+R119+Z119+AH119+AP119+AX119+BF119</f>
        <v>801011.81</v>
      </c>
      <c r="BO119" s="241">
        <f t="shared" ref="BO119:BS124" si="205">C119+K119+S119+AA119+AI119+AQ119+AY119+BG119</f>
        <v>0</v>
      </c>
      <c r="BP119" s="241">
        <f t="shared" si="205"/>
        <v>0</v>
      </c>
      <c r="BQ119" s="241">
        <f t="shared" si="205"/>
        <v>0</v>
      </c>
      <c r="BR119" s="241">
        <f t="shared" si="205"/>
        <v>163475</v>
      </c>
      <c r="BS119" s="241">
        <f t="shared" si="205"/>
        <v>0</v>
      </c>
      <c r="BT119" s="241">
        <f t="shared" ref="BT119:BT120" si="206">SUM(BN119:BS119)</f>
        <v>964486.81</v>
      </c>
    </row>
    <row r="120" spans="1:72" x14ac:dyDescent="0.25">
      <c r="A120" s="201" t="s">
        <v>192</v>
      </c>
      <c r="B120" s="244"/>
      <c r="C120" s="244"/>
      <c r="D120" s="244"/>
      <c r="E120" s="244"/>
      <c r="F120" s="244"/>
      <c r="G120" s="244"/>
      <c r="H120" s="241">
        <f t="shared" si="197"/>
        <v>0</v>
      </c>
      <c r="J120" s="242">
        <f>75115*1.01</f>
        <v>75866.149999999994</v>
      </c>
      <c r="K120" s="242"/>
      <c r="L120" s="244"/>
      <c r="M120" s="244"/>
      <c r="N120" s="244"/>
      <c r="O120" s="244"/>
      <c r="P120" s="241">
        <f t="shared" si="198"/>
        <v>75866.149999999994</v>
      </c>
      <c r="R120" s="242"/>
      <c r="S120" s="242"/>
      <c r="T120" s="244"/>
      <c r="U120" s="244"/>
      <c r="V120" s="244"/>
      <c r="W120" s="244"/>
      <c r="X120" s="241">
        <f t="shared" si="199"/>
        <v>0</v>
      </c>
      <c r="Z120" s="242"/>
      <c r="AA120" s="242"/>
      <c r="AB120" s="244"/>
      <c r="AC120" s="244"/>
      <c r="AD120" s="244"/>
      <c r="AE120" s="244"/>
      <c r="AF120" s="241">
        <f t="shared" si="200"/>
        <v>0</v>
      </c>
      <c r="AH120" s="242"/>
      <c r="AI120" s="242"/>
      <c r="AJ120" s="244"/>
      <c r="AK120" s="244"/>
      <c r="AL120" s="244"/>
      <c r="AM120" s="244"/>
      <c r="AN120" s="241">
        <f t="shared" si="201"/>
        <v>0</v>
      </c>
      <c r="AP120" s="242">
        <f>75500*1.01</f>
        <v>76255</v>
      </c>
      <c r="AQ120" s="242"/>
      <c r="AR120" s="244"/>
      <c r="AS120" s="244"/>
      <c r="AT120" s="244"/>
      <c r="AU120" s="244"/>
      <c r="AV120" s="241">
        <f t="shared" si="202"/>
        <v>76255</v>
      </c>
      <c r="AX120" s="242">
        <f>95176*1.01</f>
        <v>96127.76</v>
      </c>
      <c r="AY120" s="242"/>
      <c r="AZ120" s="244"/>
      <c r="BA120" s="244"/>
      <c r="BB120" s="244"/>
      <c r="BC120" s="244"/>
      <c r="BD120" s="241">
        <f t="shared" si="203"/>
        <v>96127.76</v>
      </c>
      <c r="BF120" s="244"/>
      <c r="BG120" s="244"/>
      <c r="BH120" s="244"/>
      <c r="BI120" s="244"/>
      <c r="BJ120" s="244"/>
      <c r="BK120" s="244"/>
      <c r="BL120" s="241">
        <f t="shared" si="204"/>
        <v>0</v>
      </c>
      <c r="BN120" s="241">
        <f t="shared" ref="BN120:BN124" si="207">B120+J120+R120+Z120+AH120+AP120+AX120+BF120</f>
        <v>248248.90999999997</v>
      </c>
      <c r="BO120" s="241">
        <f t="shared" si="205"/>
        <v>0</v>
      </c>
      <c r="BP120" s="241">
        <f t="shared" si="205"/>
        <v>0</v>
      </c>
      <c r="BQ120" s="241">
        <f t="shared" si="205"/>
        <v>0</v>
      </c>
      <c r="BR120" s="241">
        <f t="shared" si="205"/>
        <v>0</v>
      </c>
      <c r="BS120" s="241">
        <f t="shared" si="205"/>
        <v>0</v>
      </c>
      <c r="BT120" s="241">
        <f t="shared" si="206"/>
        <v>248248.90999999997</v>
      </c>
    </row>
    <row r="121" spans="1:72" x14ac:dyDescent="0.25">
      <c r="A121" s="201" t="s">
        <v>250</v>
      </c>
      <c r="B121" s="242">
        <f>61650*B36+17500+2404</f>
        <v>2609204</v>
      </c>
      <c r="C121" s="244"/>
      <c r="D121" s="244"/>
      <c r="E121" s="244"/>
      <c r="F121" s="244"/>
      <c r="G121" s="244"/>
      <c r="H121" s="241">
        <f>SUM(B121:G121)</f>
        <v>2609204</v>
      </c>
      <c r="J121" s="242">
        <f>64100*J36+(1000*40)+20000</f>
        <v>6534100</v>
      </c>
      <c r="K121" s="242"/>
      <c r="L121" s="244"/>
      <c r="M121" s="244"/>
      <c r="N121" s="244"/>
      <c r="O121" s="244"/>
      <c r="P121" s="241">
        <f>SUM(J121:O121)</f>
        <v>6534100</v>
      </c>
      <c r="R121" s="242">
        <f>63750*R36+6218</f>
        <v>2811218</v>
      </c>
      <c r="S121" s="242"/>
      <c r="T121" s="244"/>
      <c r="U121" s="244"/>
      <c r="V121" s="244"/>
      <c r="W121" s="244"/>
      <c r="X121" s="241">
        <f>SUM(R121:W121)</f>
        <v>2811218</v>
      </c>
      <c r="Y121" s="71"/>
      <c r="Z121" s="242">
        <f>61600*Z36+7000+25000</f>
        <v>3481600</v>
      </c>
      <c r="AA121" s="242"/>
      <c r="AB121" s="244"/>
      <c r="AC121" s="244"/>
      <c r="AD121" s="244"/>
      <c r="AE121" s="244"/>
      <c r="AF121" s="241">
        <f>SUM(Z121:AE121)</f>
        <v>3481600</v>
      </c>
      <c r="AH121" s="242">
        <f>63850*AH36+(500*30)</f>
        <v>6527700</v>
      </c>
      <c r="AI121" s="242"/>
      <c r="AJ121" s="244"/>
      <c r="AK121" s="244"/>
      <c r="AL121" s="244"/>
      <c r="AM121" s="244"/>
      <c r="AN121" s="241">
        <f>SUM(AH121:AM121)</f>
        <v>6527700</v>
      </c>
      <c r="AP121" s="242">
        <f>59000*AP36</f>
        <v>1770000</v>
      </c>
      <c r="AQ121" s="242"/>
      <c r="AR121" s="244"/>
      <c r="AS121" s="244"/>
      <c r="AT121" s="244"/>
      <c r="AU121" s="244"/>
      <c r="AV121" s="241">
        <f>SUM(AP121:AU121)</f>
        <v>1770000</v>
      </c>
      <c r="AX121" s="242">
        <f>62000*AX36</f>
        <v>0</v>
      </c>
      <c r="AY121" s="242"/>
      <c r="AZ121" s="244"/>
      <c r="BA121" s="244"/>
      <c r="BB121" s="244"/>
      <c r="BC121" s="244"/>
      <c r="BD121" s="241">
        <f>SUM(AX121:BC121)</f>
        <v>0</v>
      </c>
      <c r="BF121" s="244">
        <f>(80500+1500)*1.01</f>
        <v>82820</v>
      </c>
      <c r="BG121" s="244"/>
      <c r="BH121" s="244"/>
      <c r="BI121" s="244"/>
      <c r="BJ121" s="244"/>
      <c r="BK121" s="244"/>
      <c r="BL121" s="241">
        <f>SUM(BF121:BK121)</f>
        <v>82820</v>
      </c>
      <c r="BN121" s="241">
        <f t="shared" si="207"/>
        <v>23816642</v>
      </c>
      <c r="BO121" s="241">
        <f t="shared" si="205"/>
        <v>0</v>
      </c>
      <c r="BP121" s="241">
        <f t="shared" si="205"/>
        <v>0</v>
      </c>
      <c r="BQ121" s="241">
        <f t="shared" si="205"/>
        <v>0</v>
      </c>
      <c r="BR121" s="241">
        <f t="shared" si="205"/>
        <v>0</v>
      </c>
      <c r="BS121" s="241">
        <f t="shared" si="205"/>
        <v>0</v>
      </c>
      <c r="BT121" s="241">
        <f>SUM(BN121:BS121)</f>
        <v>23816642</v>
      </c>
    </row>
    <row r="122" spans="1:72" x14ac:dyDescent="0.25">
      <c r="A122" s="201" t="s">
        <v>181</v>
      </c>
      <c r="B122" s="244"/>
      <c r="C122" s="244">
        <f>61650*C28</f>
        <v>308250</v>
      </c>
      <c r="D122" s="244"/>
      <c r="E122" s="244"/>
      <c r="F122" s="244"/>
      <c r="G122" s="244"/>
      <c r="H122" s="241">
        <f t="shared" si="197"/>
        <v>308250</v>
      </c>
      <c r="J122" s="242"/>
      <c r="K122" s="242">
        <f>64100*K36</f>
        <v>833300</v>
      </c>
      <c r="L122" s="244"/>
      <c r="M122" s="244"/>
      <c r="N122" s="244"/>
      <c r="O122" s="244"/>
      <c r="P122" s="241">
        <f t="shared" si="198"/>
        <v>833300</v>
      </c>
      <c r="R122" s="242"/>
      <c r="S122" s="242">
        <f>63750*S36</f>
        <v>255000</v>
      </c>
      <c r="T122" s="244"/>
      <c r="U122" s="244"/>
      <c r="V122" s="244"/>
      <c r="W122" s="244"/>
      <c r="X122" s="241">
        <f t="shared" si="199"/>
        <v>255000</v>
      </c>
      <c r="Y122" s="71"/>
      <c r="Z122" s="242"/>
      <c r="AA122" s="242">
        <f>61600*AA36</f>
        <v>308000</v>
      </c>
      <c r="AB122" s="244"/>
      <c r="AC122" s="244"/>
      <c r="AD122" s="244"/>
      <c r="AE122" s="244"/>
      <c r="AF122" s="241">
        <f t="shared" si="200"/>
        <v>308000</v>
      </c>
      <c r="AH122" s="242"/>
      <c r="AI122" s="242">
        <f>63850*AI36</f>
        <v>830050</v>
      </c>
      <c r="AJ122" s="244"/>
      <c r="AK122" s="244"/>
      <c r="AL122" s="244"/>
      <c r="AM122" s="244"/>
      <c r="AN122" s="241">
        <f t="shared" si="201"/>
        <v>830050</v>
      </c>
      <c r="AP122" s="242"/>
      <c r="AQ122" s="242">
        <f>65000*AQ36</f>
        <v>195000</v>
      </c>
      <c r="AR122" s="244"/>
      <c r="AS122" s="244"/>
      <c r="AT122" s="244"/>
      <c r="AU122" s="244"/>
      <c r="AV122" s="241">
        <f t="shared" si="202"/>
        <v>195000</v>
      </c>
      <c r="AX122" s="242"/>
      <c r="AY122" s="242">
        <f>83000*1.01</f>
        <v>83830</v>
      </c>
      <c r="AZ122" s="244"/>
      <c r="BA122" s="244"/>
      <c r="BB122" s="244"/>
      <c r="BC122" s="244"/>
      <c r="BD122" s="241">
        <f t="shared" si="203"/>
        <v>83830</v>
      </c>
      <c r="BF122" s="244"/>
      <c r="BG122" s="244"/>
      <c r="BH122" s="244"/>
      <c r="BI122" s="244"/>
      <c r="BJ122" s="244"/>
      <c r="BK122" s="244"/>
      <c r="BL122" s="241">
        <f t="shared" si="204"/>
        <v>0</v>
      </c>
      <c r="BN122" s="241">
        <f t="shared" si="207"/>
        <v>0</v>
      </c>
      <c r="BO122" s="241">
        <f t="shared" si="205"/>
        <v>2813430</v>
      </c>
      <c r="BP122" s="241">
        <f t="shared" si="205"/>
        <v>0</v>
      </c>
      <c r="BQ122" s="241">
        <f t="shared" si="205"/>
        <v>0</v>
      </c>
      <c r="BR122" s="241">
        <f t="shared" si="205"/>
        <v>0</v>
      </c>
      <c r="BS122" s="241">
        <f t="shared" si="205"/>
        <v>0</v>
      </c>
      <c r="BT122" s="241">
        <f t="shared" ref="BT122" si="208">SUM(BN122:BS122)</f>
        <v>2813430</v>
      </c>
    </row>
    <row r="123" spans="1:72" x14ac:dyDescent="0.25">
      <c r="A123" s="201" t="s">
        <v>251</v>
      </c>
      <c r="B123" s="244">
        <f>(21.25*7.55*180)*B50</f>
        <v>115515</v>
      </c>
      <c r="C123" s="244">
        <f>(21.25*8*180)*C50</f>
        <v>122400</v>
      </c>
      <c r="D123" s="244"/>
      <c r="E123" s="244">
        <f>(20.25*8*180)*E50</f>
        <v>0</v>
      </c>
      <c r="F123" s="244">
        <f>(20.75*8*180)*F50</f>
        <v>0</v>
      </c>
      <c r="G123" s="244">
        <f>(20.25*8*180)*G50</f>
        <v>0</v>
      </c>
      <c r="H123" s="241">
        <f>SUM(B123:G123)</f>
        <v>237915</v>
      </c>
      <c r="J123" s="242">
        <f>(21*8*180)*J50</f>
        <v>302400</v>
      </c>
      <c r="K123" s="242">
        <f>(21*8*180)*K50</f>
        <v>362880</v>
      </c>
      <c r="L123" s="244"/>
      <c r="M123" s="244"/>
      <c r="N123" s="244"/>
      <c r="O123" s="244">
        <f>(20.25*8*180)*O50</f>
        <v>0</v>
      </c>
      <c r="P123" s="241">
        <f>SUM(J123:O123)</f>
        <v>665280</v>
      </c>
      <c r="R123" s="242">
        <f>(21.25*7.5*180)*R50</f>
        <v>200812.5</v>
      </c>
      <c r="S123" s="242">
        <f>(21.25*7.5*180)*S50</f>
        <v>114750</v>
      </c>
      <c r="T123" s="244"/>
      <c r="U123" s="244"/>
      <c r="V123" s="244"/>
      <c r="W123" s="244">
        <f>(20.25*8*180)*W50</f>
        <v>0</v>
      </c>
      <c r="X123" s="241">
        <f>SUM(R123:W123)</f>
        <v>315562.5</v>
      </c>
      <c r="Z123" s="242">
        <f>(20.25*8*180)*Z50</f>
        <v>145800</v>
      </c>
      <c r="AA123" s="242">
        <f>(20.25*8*180)*AA50</f>
        <v>145800</v>
      </c>
      <c r="AB123" s="244"/>
      <c r="AC123" s="244"/>
      <c r="AD123" s="244"/>
      <c r="AE123" s="244">
        <f>(20.25*8*180)*AE50</f>
        <v>0</v>
      </c>
      <c r="AF123" s="241">
        <f>SUM(Z123:AE123)</f>
        <v>291600</v>
      </c>
      <c r="AH123" s="242">
        <f>(21.25*8*180)*AH50</f>
        <v>153000</v>
      </c>
      <c r="AI123" s="242">
        <f>(21.25*8*180)*AI50</f>
        <v>367200</v>
      </c>
      <c r="AJ123" s="244"/>
      <c r="AK123" s="244"/>
      <c r="AL123" s="244"/>
      <c r="AM123" s="244">
        <f>(20.25*8*180)*AM50</f>
        <v>0</v>
      </c>
      <c r="AN123" s="241">
        <f>SUM(AH123:AM123)</f>
        <v>520200</v>
      </c>
      <c r="AP123" s="242">
        <f>(21.25*8*180)*AP50</f>
        <v>0</v>
      </c>
      <c r="AQ123" s="242">
        <f>(20.25*8*180)*AQ50</f>
        <v>87480</v>
      </c>
      <c r="AR123" s="244"/>
      <c r="AS123" s="244"/>
      <c r="AT123" s="244">
        <f>(37918+24973+40000)*1.01</f>
        <v>103919.91</v>
      </c>
      <c r="AU123" s="244">
        <f>(20.25*8*180)*AU50</f>
        <v>0</v>
      </c>
      <c r="AV123" s="241">
        <f>SUM(AP123:AU123)</f>
        <v>191399.91</v>
      </c>
      <c r="AX123" s="242">
        <f>(21.25*7.5*180)*AX50+500</f>
        <v>86562.5</v>
      </c>
      <c r="AY123" s="242">
        <f>(21.25*7.5*180)*AY50+500</f>
        <v>29187.5</v>
      </c>
      <c r="AZ123" s="244"/>
      <c r="BA123" s="244"/>
      <c r="BB123" s="244">
        <f>21189*1.01</f>
        <v>21400.89</v>
      </c>
      <c r="BC123" s="244">
        <f>(20.25*8*180)*BC50</f>
        <v>0</v>
      </c>
      <c r="BD123" s="241">
        <f>SUM(AX123:BC123)</f>
        <v>137150.89000000001</v>
      </c>
      <c r="BF123" s="244"/>
      <c r="BG123" s="244"/>
      <c r="BH123" s="244"/>
      <c r="BI123" s="244"/>
      <c r="BJ123" s="244"/>
      <c r="BK123" s="244">
        <f>(20.25*8*180)*BK50</f>
        <v>0</v>
      </c>
      <c r="BL123" s="241">
        <f>SUM(BF123:BK123)</f>
        <v>0</v>
      </c>
      <c r="BN123" s="241">
        <f t="shared" si="207"/>
        <v>1004090</v>
      </c>
      <c r="BO123" s="241">
        <f t="shared" si="205"/>
        <v>1229697.5</v>
      </c>
      <c r="BP123" s="241">
        <f t="shared" si="205"/>
        <v>0</v>
      </c>
      <c r="BQ123" s="241">
        <f t="shared" si="205"/>
        <v>0</v>
      </c>
      <c r="BR123" s="241">
        <f t="shared" si="205"/>
        <v>125320.8</v>
      </c>
      <c r="BS123" s="241">
        <f t="shared" si="205"/>
        <v>0</v>
      </c>
      <c r="BT123" s="241">
        <f>SUM(BN123:BS123)</f>
        <v>2359108.2999999998</v>
      </c>
    </row>
    <row r="124" spans="1:72" x14ac:dyDescent="0.25">
      <c r="A124" s="202" t="s">
        <v>209</v>
      </c>
      <c r="B124" s="245">
        <f>180*180*B59</f>
        <v>32400</v>
      </c>
      <c r="C124" s="245"/>
      <c r="D124" s="245"/>
      <c r="E124" s="245"/>
      <c r="F124" s="245"/>
      <c r="G124" s="245"/>
      <c r="H124" s="262">
        <f>SUM(B124:G124)</f>
        <v>32400</v>
      </c>
      <c r="J124" s="245">
        <f>180*180*J59</f>
        <v>97200</v>
      </c>
      <c r="K124" s="245"/>
      <c r="L124" s="245"/>
      <c r="M124" s="245"/>
      <c r="N124" s="245"/>
      <c r="O124" s="245"/>
      <c r="P124" s="262">
        <f>SUM(J124:O124)</f>
        <v>97200</v>
      </c>
      <c r="R124" s="245">
        <f>180*180*R59</f>
        <v>32400</v>
      </c>
      <c r="S124" s="245"/>
      <c r="T124" s="245"/>
      <c r="U124" s="245"/>
      <c r="V124" s="245"/>
      <c r="W124" s="245"/>
      <c r="X124" s="262">
        <f>SUM(R124:W124)</f>
        <v>32400</v>
      </c>
      <c r="Z124" s="245">
        <f>180*180*Z59</f>
        <v>64800</v>
      </c>
      <c r="AA124" s="245"/>
      <c r="AB124" s="245"/>
      <c r="AC124" s="245"/>
      <c r="AD124" s="245"/>
      <c r="AE124" s="245"/>
      <c r="AF124" s="262">
        <f>SUM(Z124:AE124)</f>
        <v>64800</v>
      </c>
      <c r="AH124" s="245">
        <f>180*180*AH59</f>
        <v>129600</v>
      </c>
      <c r="AI124" s="245"/>
      <c r="AJ124" s="245"/>
      <c r="AK124" s="245"/>
      <c r="AL124" s="245"/>
      <c r="AM124" s="245"/>
      <c r="AN124" s="262">
        <f>SUM(AH124:AM124)</f>
        <v>129600</v>
      </c>
      <c r="AP124" s="245">
        <f>175*180*AP59</f>
        <v>0</v>
      </c>
      <c r="AQ124" s="245"/>
      <c r="AR124" s="245"/>
      <c r="AS124" s="245"/>
      <c r="AT124" s="245"/>
      <c r="AU124" s="245"/>
      <c r="AV124" s="262">
        <f>SUM(AP124:AU124)</f>
        <v>0</v>
      </c>
      <c r="AX124" s="245">
        <f>175*180*AX59</f>
        <v>0</v>
      </c>
      <c r="AY124" s="245"/>
      <c r="AZ124" s="245"/>
      <c r="BA124" s="245"/>
      <c r="BB124" s="245"/>
      <c r="BC124" s="245"/>
      <c r="BD124" s="262">
        <f>SUM(AX124:BC124)</f>
        <v>0</v>
      </c>
      <c r="BF124" s="245"/>
      <c r="BG124" s="245"/>
      <c r="BH124" s="245"/>
      <c r="BI124" s="245"/>
      <c r="BJ124" s="245"/>
      <c r="BK124" s="245"/>
      <c r="BL124" s="262">
        <f>SUM(BF124:BK124)</f>
        <v>0</v>
      </c>
      <c r="BN124" s="241">
        <f t="shared" si="207"/>
        <v>356400</v>
      </c>
      <c r="BO124" s="241">
        <f t="shared" si="205"/>
        <v>0</v>
      </c>
      <c r="BP124" s="241">
        <f t="shared" si="205"/>
        <v>0</v>
      </c>
      <c r="BQ124" s="241">
        <f t="shared" si="205"/>
        <v>0</v>
      </c>
      <c r="BR124" s="241">
        <f t="shared" si="205"/>
        <v>0</v>
      </c>
      <c r="BS124" s="241">
        <f t="shared" si="205"/>
        <v>0</v>
      </c>
      <c r="BT124" s="262">
        <f>SUM(BN124:BS124)</f>
        <v>356400</v>
      </c>
    </row>
    <row r="125" spans="1:72" x14ac:dyDescent="0.25">
      <c r="A125" s="207" t="s">
        <v>332</v>
      </c>
      <c r="B125" s="258">
        <f t="shared" ref="B125:H125" si="209">SUM(B119:B124)</f>
        <v>2842883.15</v>
      </c>
      <c r="C125" s="258">
        <f t="shared" si="209"/>
        <v>430650</v>
      </c>
      <c r="D125" s="258">
        <f t="shared" si="209"/>
        <v>0</v>
      </c>
      <c r="E125" s="258">
        <f t="shared" si="209"/>
        <v>0</v>
      </c>
      <c r="F125" s="258">
        <f t="shared" si="209"/>
        <v>65000</v>
      </c>
      <c r="G125" s="258">
        <f t="shared" si="209"/>
        <v>0</v>
      </c>
      <c r="H125" s="258">
        <f t="shared" si="209"/>
        <v>3338533.15</v>
      </c>
      <c r="J125" s="258">
        <f t="shared" ref="J125:P125" si="210">SUM(J119:J124)</f>
        <v>7247926.1500000004</v>
      </c>
      <c r="K125" s="258">
        <f t="shared" si="210"/>
        <v>1196180</v>
      </c>
      <c r="L125" s="258">
        <f t="shared" si="210"/>
        <v>0</v>
      </c>
      <c r="M125" s="258">
        <f t="shared" si="210"/>
        <v>0</v>
      </c>
      <c r="N125" s="258">
        <f t="shared" si="210"/>
        <v>0</v>
      </c>
      <c r="O125" s="258">
        <f t="shared" si="210"/>
        <v>0</v>
      </c>
      <c r="P125" s="258">
        <f t="shared" si="210"/>
        <v>8444106.1500000004</v>
      </c>
      <c r="R125" s="258">
        <f t="shared" ref="R125:X125" si="211">SUM(R119:R124)</f>
        <v>3122705.5</v>
      </c>
      <c r="S125" s="258">
        <f t="shared" si="211"/>
        <v>369750</v>
      </c>
      <c r="T125" s="258">
        <f t="shared" si="211"/>
        <v>0</v>
      </c>
      <c r="U125" s="258">
        <f t="shared" si="211"/>
        <v>0</v>
      </c>
      <c r="V125" s="258">
        <f t="shared" si="211"/>
        <v>0</v>
      </c>
      <c r="W125" s="258">
        <f t="shared" si="211"/>
        <v>0</v>
      </c>
      <c r="X125" s="258">
        <f t="shared" si="211"/>
        <v>3492455.5</v>
      </c>
      <c r="Z125" s="258">
        <f t="shared" ref="Z125:AF125" si="212">SUM(Z119:Z124)</f>
        <v>3942847.66</v>
      </c>
      <c r="AA125" s="258">
        <f t="shared" si="212"/>
        <v>453800</v>
      </c>
      <c r="AB125" s="258">
        <f t="shared" si="212"/>
        <v>0</v>
      </c>
      <c r="AC125" s="258">
        <f t="shared" si="212"/>
        <v>0</v>
      </c>
      <c r="AD125" s="258">
        <f t="shared" si="212"/>
        <v>0</v>
      </c>
      <c r="AE125" s="258">
        <f t="shared" si="212"/>
        <v>0</v>
      </c>
      <c r="AF125" s="258">
        <f t="shared" si="212"/>
        <v>4396647.66</v>
      </c>
      <c r="AH125" s="258">
        <f t="shared" ref="AH125:AN125" si="213">SUM(AH119:AH124)</f>
        <v>6958265</v>
      </c>
      <c r="AI125" s="258">
        <f t="shared" si="213"/>
        <v>1197250</v>
      </c>
      <c r="AJ125" s="258">
        <f t="shared" si="213"/>
        <v>0</v>
      </c>
      <c r="AK125" s="258">
        <f t="shared" si="213"/>
        <v>0</v>
      </c>
      <c r="AL125" s="258">
        <f t="shared" si="213"/>
        <v>0</v>
      </c>
      <c r="AM125" s="258">
        <f t="shared" si="213"/>
        <v>0</v>
      </c>
      <c r="AN125" s="258">
        <f t="shared" si="213"/>
        <v>8155515</v>
      </c>
      <c r="AP125" s="258">
        <f t="shared" ref="AP125:AV125" si="214">SUM(AP119:AP124)</f>
        <v>1846255</v>
      </c>
      <c r="AQ125" s="258">
        <f t="shared" si="214"/>
        <v>282480</v>
      </c>
      <c r="AR125" s="258">
        <f t="shared" si="214"/>
        <v>0</v>
      </c>
      <c r="AS125" s="258">
        <f t="shared" si="214"/>
        <v>0</v>
      </c>
      <c r="AT125" s="258">
        <f t="shared" si="214"/>
        <v>103919.91</v>
      </c>
      <c r="AU125" s="258">
        <f t="shared" si="214"/>
        <v>0</v>
      </c>
      <c r="AV125" s="258">
        <f t="shared" si="214"/>
        <v>2232654.91</v>
      </c>
      <c r="AX125" s="258">
        <f t="shared" ref="AX125:BD125" si="215">SUM(AX119:AX124)</f>
        <v>182690.26</v>
      </c>
      <c r="AY125" s="258">
        <f t="shared" si="215"/>
        <v>113017.5</v>
      </c>
      <c r="AZ125" s="258">
        <f t="shared" si="215"/>
        <v>0</v>
      </c>
      <c r="BA125" s="258">
        <f t="shared" si="215"/>
        <v>0</v>
      </c>
      <c r="BB125" s="258">
        <f t="shared" si="215"/>
        <v>21400.89</v>
      </c>
      <c r="BC125" s="258">
        <f t="shared" si="215"/>
        <v>0</v>
      </c>
      <c r="BD125" s="258">
        <f t="shared" si="215"/>
        <v>317108.65000000002</v>
      </c>
      <c r="BF125" s="258">
        <f t="shared" ref="BF125:BL125" si="216">SUM(BF119:BF124)</f>
        <v>82820</v>
      </c>
      <c r="BG125" s="258">
        <f t="shared" si="216"/>
        <v>0</v>
      </c>
      <c r="BH125" s="258">
        <f t="shared" si="216"/>
        <v>0</v>
      </c>
      <c r="BI125" s="258">
        <f t="shared" si="216"/>
        <v>0</v>
      </c>
      <c r="BJ125" s="258">
        <f t="shared" si="216"/>
        <v>98475</v>
      </c>
      <c r="BK125" s="258">
        <f t="shared" si="216"/>
        <v>0</v>
      </c>
      <c r="BL125" s="258">
        <f t="shared" si="216"/>
        <v>181295</v>
      </c>
      <c r="BN125" s="258">
        <f t="shared" ref="BN125:BT125" si="217">SUM(BN119:BN124)</f>
        <v>26226392.719999999</v>
      </c>
      <c r="BO125" s="258">
        <f t="shared" si="217"/>
        <v>4043127.5</v>
      </c>
      <c r="BP125" s="258">
        <f t="shared" si="217"/>
        <v>0</v>
      </c>
      <c r="BQ125" s="258">
        <f t="shared" si="217"/>
        <v>0</v>
      </c>
      <c r="BR125" s="258">
        <f t="shared" si="217"/>
        <v>288795.8</v>
      </c>
      <c r="BS125" s="258">
        <f t="shared" si="217"/>
        <v>0</v>
      </c>
      <c r="BT125" s="258">
        <f t="shared" si="217"/>
        <v>30558316.02</v>
      </c>
    </row>
    <row r="126" spans="1:72" x14ac:dyDescent="0.25">
      <c r="A126" s="200" t="s">
        <v>364</v>
      </c>
      <c r="B126" s="257">
        <f>B125*0.3725</f>
        <v>1058973.9733750001</v>
      </c>
      <c r="C126" s="257">
        <f t="shared" ref="C126:G126" si="218">C125*0.3725</f>
        <v>160417.125</v>
      </c>
      <c r="D126" s="257">
        <f t="shared" si="218"/>
        <v>0</v>
      </c>
      <c r="E126" s="257">
        <f t="shared" si="218"/>
        <v>0</v>
      </c>
      <c r="F126" s="257">
        <f t="shared" si="218"/>
        <v>24212.5</v>
      </c>
      <c r="G126" s="257">
        <f t="shared" si="218"/>
        <v>0</v>
      </c>
      <c r="H126" s="241">
        <f t="shared" si="197"/>
        <v>1243603.5983750001</v>
      </c>
      <c r="J126" s="257">
        <f>J125*0.3725</f>
        <v>2699852.4908750001</v>
      </c>
      <c r="K126" s="257">
        <f t="shared" ref="K126:O126" si="219">K125*0.3725</f>
        <v>445577.05</v>
      </c>
      <c r="L126" s="257">
        <f t="shared" si="219"/>
        <v>0</v>
      </c>
      <c r="M126" s="257">
        <f t="shared" si="219"/>
        <v>0</v>
      </c>
      <c r="N126" s="257">
        <f t="shared" si="219"/>
        <v>0</v>
      </c>
      <c r="O126" s="257">
        <f t="shared" si="219"/>
        <v>0</v>
      </c>
      <c r="P126" s="241">
        <f t="shared" si="198"/>
        <v>3145429.5408749999</v>
      </c>
      <c r="R126" s="257">
        <f>R125*0.3725</f>
        <v>1163207.7987500001</v>
      </c>
      <c r="S126" s="257">
        <f t="shared" ref="S126:W126" si="220">S125*0.3725</f>
        <v>137731.875</v>
      </c>
      <c r="T126" s="257">
        <f t="shared" si="220"/>
        <v>0</v>
      </c>
      <c r="U126" s="257">
        <f t="shared" si="220"/>
        <v>0</v>
      </c>
      <c r="V126" s="257">
        <f t="shared" si="220"/>
        <v>0</v>
      </c>
      <c r="W126" s="257">
        <f t="shared" si="220"/>
        <v>0</v>
      </c>
      <c r="X126" s="241">
        <f t="shared" si="199"/>
        <v>1300939.6737500001</v>
      </c>
      <c r="Z126" s="257">
        <f>Z125*0.3725</f>
        <v>1468710.7533500001</v>
      </c>
      <c r="AA126" s="257">
        <f t="shared" ref="AA126:AE126" si="221">AA125*0.3725</f>
        <v>169040.5</v>
      </c>
      <c r="AB126" s="257">
        <f t="shared" si="221"/>
        <v>0</v>
      </c>
      <c r="AC126" s="257">
        <f t="shared" si="221"/>
        <v>0</v>
      </c>
      <c r="AD126" s="257">
        <f t="shared" si="221"/>
        <v>0</v>
      </c>
      <c r="AE126" s="257">
        <f t="shared" si="221"/>
        <v>0</v>
      </c>
      <c r="AF126" s="241">
        <f t="shared" si="200"/>
        <v>1637751.2533500001</v>
      </c>
      <c r="AH126" s="257">
        <f>AH125*0.3725</f>
        <v>2591953.7124999999</v>
      </c>
      <c r="AI126" s="257">
        <f t="shared" ref="AI126:AM126" si="222">AI125*0.3725</f>
        <v>445975.625</v>
      </c>
      <c r="AJ126" s="257">
        <f t="shared" si="222"/>
        <v>0</v>
      </c>
      <c r="AK126" s="257">
        <f t="shared" si="222"/>
        <v>0</v>
      </c>
      <c r="AL126" s="257">
        <f t="shared" si="222"/>
        <v>0</v>
      </c>
      <c r="AM126" s="257">
        <f t="shared" si="222"/>
        <v>0</v>
      </c>
      <c r="AN126" s="241">
        <f t="shared" si="201"/>
        <v>3037929.3374999999</v>
      </c>
      <c r="AP126" s="257">
        <f>AP125*0.3725</f>
        <v>687729.98750000005</v>
      </c>
      <c r="AQ126" s="257">
        <f t="shared" ref="AQ126:AT126" si="223">AQ125*0.3725</f>
        <v>105223.8</v>
      </c>
      <c r="AR126" s="257">
        <f t="shared" si="223"/>
        <v>0</v>
      </c>
      <c r="AS126" s="257">
        <f t="shared" si="223"/>
        <v>0</v>
      </c>
      <c r="AT126" s="257">
        <f t="shared" si="223"/>
        <v>38710.166474999998</v>
      </c>
      <c r="AU126" s="257">
        <f>AU125*0.3725</f>
        <v>0</v>
      </c>
      <c r="AV126" s="241">
        <f t="shared" si="202"/>
        <v>831663.95397500007</v>
      </c>
      <c r="AX126" s="257">
        <f>AX125*0.3725</f>
        <v>68052.121849999996</v>
      </c>
      <c r="AY126" s="257">
        <f t="shared" ref="AY126:BC126" si="224">AY125*0.3725</f>
        <v>42099.018750000003</v>
      </c>
      <c r="AZ126" s="257">
        <f t="shared" si="224"/>
        <v>0</v>
      </c>
      <c r="BA126" s="257">
        <f t="shared" si="224"/>
        <v>0</v>
      </c>
      <c r="BB126" s="257">
        <f t="shared" si="224"/>
        <v>7971.8315249999996</v>
      </c>
      <c r="BC126" s="257">
        <f t="shared" si="224"/>
        <v>0</v>
      </c>
      <c r="BD126" s="241">
        <f t="shared" si="203"/>
        <v>118122.972125</v>
      </c>
      <c r="BF126" s="257">
        <f>BF125*0.3725</f>
        <v>30850.45</v>
      </c>
      <c r="BG126" s="257">
        <f t="shared" ref="BG126:BK126" si="225">BG125*0.3675</f>
        <v>0</v>
      </c>
      <c r="BH126" s="257">
        <f t="shared" si="225"/>
        <v>0</v>
      </c>
      <c r="BI126" s="257">
        <f t="shared" si="225"/>
        <v>0</v>
      </c>
      <c r="BJ126" s="257">
        <f t="shared" si="225"/>
        <v>36189.5625</v>
      </c>
      <c r="BK126" s="257">
        <f t="shared" si="225"/>
        <v>0</v>
      </c>
      <c r="BL126" s="241">
        <f t="shared" si="204"/>
        <v>67040.012499999997</v>
      </c>
      <c r="BN126" s="241">
        <f>B126+J126+R126+Z126+AH126+AP126+AX126+BF126</f>
        <v>9769331.2882000003</v>
      </c>
      <c r="BO126" s="241">
        <f t="shared" ref="BO126:BS131" si="226">C126+K126+S126+AA126+AI126+AQ126+AY126+BG126</f>
        <v>1506064.9937500001</v>
      </c>
      <c r="BP126" s="241">
        <f t="shared" si="226"/>
        <v>0</v>
      </c>
      <c r="BQ126" s="241">
        <f t="shared" si="226"/>
        <v>0</v>
      </c>
      <c r="BR126" s="241">
        <f t="shared" si="226"/>
        <v>107084.06049999999</v>
      </c>
      <c r="BS126" s="241">
        <f t="shared" si="226"/>
        <v>0</v>
      </c>
      <c r="BT126" s="241">
        <f t="shared" ref="BT126:BT127" si="227">SUM(BN126:BS126)</f>
        <v>11382480.34245</v>
      </c>
    </row>
    <row r="127" spans="1:72" x14ac:dyDescent="0.25">
      <c r="A127" s="201" t="s">
        <v>244</v>
      </c>
      <c r="B127" s="242">
        <f>(((8250*(B63*0.85))+((200*(B63*0.85))+((75*(B63*0.825))+(B63*55)+(B125*0.015)+(B125*0.03)))))</f>
        <v>471000.36674999993</v>
      </c>
      <c r="C127" s="242">
        <f>(((8250*(C63*0.85))+((200*(C63*0.85))+((75*(C63*0.825))+(C63*55)+(C125*0.015)+(C125*0.03)))))</f>
        <v>85073.625</v>
      </c>
      <c r="D127" s="242">
        <f t="shared" ref="D127:E127" si="228">(((8360*(D63*0.85))+((200*(D63*0.85))+((75*(D63*0.825))+(D63*55)+(D125*0.015)+(D125*0.03)))))</f>
        <v>0</v>
      </c>
      <c r="E127" s="242">
        <f t="shared" si="228"/>
        <v>0</v>
      </c>
      <c r="F127" s="242">
        <f>(((8250*(F63*0.85))+((200*(F63*0.85))+((75*(F63*0.825))+(F63*55)+(F125*0.015)+(F125*0.03)))))</f>
        <v>10224.375</v>
      </c>
      <c r="G127" s="242">
        <f t="shared" ref="G127" si="229">(((7600*(G63*0.85))+((190*(G63*0.85))+((70*(G63*0.825))+(G63*50)+(G125*0.015)+(G125*0.03)))))</f>
        <v>0</v>
      </c>
      <c r="H127" s="241">
        <f t="shared" si="197"/>
        <v>566298.36674999993</v>
      </c>
      <c r="J127" s="242">
        <f>(((8250*(J63*0.85))+((200*(J63*0.85))+((75*(J63*0.825))+(J63*55)+(J125*0.015)+(J125*0.03)))))</f>
        <v>1165584.8017500001</v>
      </c>
      <c r="K127" s="242">
        <f>(((8250*(K63*0.85))+((200*(K63*0.85))+((75*(K63*0.825))+(K63*55)+(K125*0.015)+(K125*0.03)))))</f>
        <v>236312.47500000001</v>
      </c>
      <c r="L127" s="242">
        <f t="shared" ref="L127:O127" si="230">(((8360*(L63*0.85))+((200*(L63*0.85))+((75*(L63*0.825))+(L63*55)+(L125*0.015)+(L125*0.03)))))</f>
        <v>0</v>
      </c>
      <c r="M127" s="242">
        <f t="shared" si="230"/>
        <v>0</v>
      </c>
      <c r="N127" s="242">
        <f t="shared" si="230"/>
        <v>0</v>
      </c>
      <c r="O127" s="242">
        <f t="shared" si="230"/>
        <v>0</v>
      </c>
      <c r="P127" s="241">
        <f t="shared" si="198"/>
        <v>1401897.2767500002</v>
      </c>
      <c r="R127" s="242">
        <f>(((8250*(R63*0.85))+((200*(R63*0.85))+((75*(R63*0.825))+(R63*55)+(R125*0.015)+(R125*0.03)))))</f>
        <v>520089.24749999994</v>
      </c>
      <c r="S127" s="242">
        <f t="shared" ref="S127:W127" si="231">(((8250*(S63*0.85))+((200*(S63*0.85))+((75*(S63*0.825))+(S63*55)+(S125*0.015)+(S125*0.03)))))</f>
        <v>75033.75</v>
      </c>
      <c r="T127" s="242">
        <f t="shared" si="231"/>
        <v>0</v>
      </c>
      <c r="U127" s="242">
        <f>(((8250*(U63*0.85))+((200*(U63*0.85))+((75*(U63*0.825))+(U63*55)+(U125*0.015)+(U125*0.03)))))</f>
        <v>0</v>
      </c>
      <c r="V127" s="242">
        <f t="shared" si="231"/>
        <v>0</v>
      </c>
      <c r="W127" s="242">
        <f t="shared" si="231"/>
        <v>0</v>
      </c>
      <c r="X127" s="241">
        <f t="shared" si="199"/>
        <v>595122.99749999994</v>
      </c>
      <c r="Z127" s="242">
        <f>(((8250*(Z63*0.85))+((200*(Z63*0.85))+((75*(Z63*0.825))+(Z63*55)+(Z125*0.015)+(Z125*0.03)))))</f>
        <v>644588.14470000006</v>
      </c>
      <c r="AA127" s="242">
        <f t="shared" ref="AA127:AE127" si="232">(((8250*(AA63*0.85))+((200*(AA63*0.85))+((75*(AA63*0.825))+(AA63*55)+(AA125*0.015)+(AA125*0.03)))))</f>
        <v>93414.75</v>
      </c>
      <c r="AB127" s="242">
        <f t="shared" si="232"/>
        <v>0</v>
      </c>
      <c r="AC127" s="242">
        <f t="shared" si="232"/>
        <v>0</v>
      </c>
      <c r="AD127" s="242">
        <f t="shared" si="232"/>
        <v>0</v>
      </c>
      <c r="AE127" s="242">
        <f t="shared" si="232"/>
        <v>0</v>
      </c>
      <c r="AF127" s="241">
        <f t="shared" si="200"/>
        <v>738002.89470000006</v>
      </c>
      <c r="AH127" s="242">
        <f>(((8250*(AH63*0.85))+((200*(AH63*0.85))+((75*(AH63*0.825))+(AH63*55)+(AH125*0.015)+(AH125*0.03)))))</f>
        <v>1108753.7999999998</v>
      </c>
      <c r="AI127" s="242">
        <f t="shared" ref="AI127:AM127" si="233">(((8250*(AI63*0.85))+((200*(AI63*0.85))+((75*(AI63*0.825))+(AI63*55)+(AI125*0.015)+(AI125*0.03)))))</f>
        <v>236360.625</v>
      </c>
      <c r="AJ127" s="242">
        <f t="shared" si="233"/>
        <v>0</v>
      </c>
      <c r="AK127" s="242">
        <f t="shared" si="233"/>
        <v>0</v>
      </c>
      <c r="AL127" s="242">
        <f t="shared" si="233"/>
        <v>0</v>
      </c>
      <c r="AM127" s="242">
        <f t="shared" si="233"/>
        <v>0</v>
      </c>
      <c r="AN127" s="241">
        <f t="shared" si="201"/>
        <v>1345114.4249999998</v>
      </c>
      <c r="AP127" s="242">
        <f>(((8250*(AP63*0.8))+((200*(AP63*0.85))+((75*(AP63*0.825))+(AP63*55)+(AP125*0.015)+(AP125*0.03)))))</f>
        <v>296574.59999999998</v>
      </c>
      <c r="AQ127" s="242">
        <f t="shared" ref="AQ127:AU127" si="234">(((8250*(AQ63*0.85))+((200*(AQ63*0.85))+((75*(AQ63*0.825))+(AQ63*55)+(AQ125*0.015)+(AQ125*0.03)))))</f>
        <v>56507.85</v>
      </c>
      <c r="AR127" s="242">
        <f t="shared" si="234"/>
        <v>0</v>
      </c>
      <c r="AS127" s="242">
        <f t="shared" si="234"/>
        <v>0</v>
      </c>
      <c r="AT127" s="242">
        <f>(((8250*(AT63*0.85))+((200*(AT63*0.85))+((75*(AT63*0.825))+(AT63*55)+(AT125*0.015)+(AT125*0.03)))))*0.7</f>
        <v>18602.164664999997</v>
      </c>
      <c r="AU127" s="242">
        <f t="shared" si="234"/>
        <v>0</v>
      </c>
      <c r="AV127" s="241">
        <f t="shared" si="202"/>
        <v>371684.61466499994</v>
      </c>
      <c r="AX127" s="244">
        <f>(((8250*(AX63*0.85))+((200*(AX63*0.85))+((75*(AX63*0.825))+(AX63*55)+(AX125*0.015)+(AX125*0.03)))))</f>
        <v>37418.561699999998</v>
      </c>
      <c r="AY127" s="244">
        <f t="shared" ref="AY127:BB127" si="235">(((8250*(AY63*0.85))+((200*(AY63*0.85))+((75*(AY63*0.825))+(AY63*55)+(AY125*0.015)+(AY125*0.03)))))</f>
        <v>19684.537499999999</v>
      </c>
      <c r="AZ127" s="244">
        <f t="shared" si="235"/>
        <v>0</v>
      </c>
      <c r="BA127" s="244">
        <f t="shared" si="235"/>
        <v>0</v>
      </c>
      <c r="BB127" s="244">
        <f t="shared" si="235"/>
        <v>8262.4150499999996</v>
      </c>
      <c r="BC127" s="244">
        <f t="shared" ref="BC127" si="236">(((7600*(BC63*0.85))+((190*(BC63*0.85))+((70*(BC63*0.825))+(BC63*50)+(BC125*0.015)+(BC125*0.03)))))</f>
        <v>0</v>
      </c>
      <c r="BD127" s="241">
        <f t="shared" si="203"/>
        <v>65365.514249999993</v>
      </c>
      <c r="BF127" s="244">
        <f>BF125*0.1775</f>
        <v>14700.55</v>
      </c>
      <c r="BG127" s="244">
        <f t="shared" ref="BG127:BK127" si="237">BG125*0.175</f>
        <v>0</v>
      </c>
      <c r="BH127" s="244">
        <f t="shared" si="237"/>
        <v>0</v>
      </c>
      <c r="BI127" s="244">
        <f t="shared" si="237"/>
        <v>0</v>
      </c>
      <c r="BJ127" s="244">
        <f t="shared" si="237"/>
        <v>17233.125</v>
      </c>
      <c r="BK127" s="244">
        <f t="shared" si="237"/>
        <v>0</v>
      </c>
      <c r="BL127" s="241">
        <f t="shared" si="204"/>
        <v>31933.674999999999</v>
      </c>
      <c r="BN127" s="241">
        <f t="shared" ref="BN127:BN131" si="238">B127+J127+R127+Z127+AH127+AP127+AX127+BF127</f>
        <v>4258710.0723999999</v>
      </c>
      <c r="BO127" s="241">
        <f t="shared" si="226"/>
        <v>802387.61249999993</v>
      </c>
      <c r="BP127" s="241">
        <f t="shared" si="226"/>
        <v>0</v>
      </c>
      <c r="BQ127" s="241">
        <f t="shared" si="226"/>
        <v>0</v>
      </c>
      <c r="BR127" s="241">
        <f t="shared" si="226"/>
        <v>54322.079715</v>
      </c>
      <c r="BS127" s="241">
        <f t="shared" si="226"/>
        <v>0</v>
      </c>
      <c r="BT127" s="241">
        <f t="shared" si="227"/>
        <v>5115419.7646149993</v>
      </c>
    </row>
    <row r="128" spans="1:72" x14ac:dyDescent="0.25">
      <c r="A128" s="201" t="s">
        <v>245</v>
      </c>
      <c r="B128" s="242">
        <f>(1250*B36)+((1500*(B41+B43))+(500*B50)+((1500*(B54+B55+B56))+(1250*B59)))</f>
        <v>57250</v>
      </c>
      <c r="C128" s="242">
        <f t="shared" ref="C128:G128" si="239">(1250*C36)+((1500*(C41+C43))+(500*C50)+((1500*(C54+C55+C56))+(1250*C59)))</f>
        <v>9750</v>
      </c>
      <c r="D128" s="242">
        <f t="shared" si="239"/>
        <v>0</v>
      </c>
      <c r="E128" s="242">
        <f t="shared" si="239"/>
        <v>0</v>
      </c>
      <c r="F128" s="242">
        <f t="shared" si="239"/>
        <v>1500</v>
      </c>
      <c r="G128" s="242">
        <f t="shared" si="239"/>
        <v>0</v>
      </c>
      <c r="H128" s="241">
        <f t="shared" si="197"/>
        <v>68500</v>
      </c>
      <c r="J128" s="242">
        <f>(1250*J36)+((1500*(J41+J43))+(500*J50)+((1500*(J54+J55+J56))+(1250*J59)))</f>
        <v>141000</v>
      </c>
      <c r="K128" s="242">
        <f>(1250*K36)+((1500*(K41+K43))+(500*K50)+((1500*(K54+K55+K56))+(1250*K59)))+(3*1000)</f>
        <v>29750</v>
      </c>
      <c r="L128" s="242">
        <f t="shared" ref="L128:O128" si="240">(1250*L36)+((1500*(L41+L43))+(500*L50)+((1500*(L54+L55+L56))+(1250*L59)))</f>
        <v>0</v>
      </c>
      <c r="M128" s="242">
        <f t="shared" si="240"/>
        <v>0</v>
      </c>
      <c r="N128" s="242">
        <f t="shared" si="240"/>
        <v>0</v>
      </c>
      <c r="O128" s="242">
        <f t="shared" si="240"/>
        <v>0</v>
      </c>
      <c r="P128" s="241">
        <f t="shared" si="198"/>
        <v>170750</v>
      </c>
      <c r="R128" s="242">
        <f>(1250*R36)+((1500*(R41+R43))+(500*R50)+((1500*(R54+R55+R56))+(1250*R59)))</f>
        <v>61250</v>
      </c>
      <c r="S128" s="242">
        <f t="shared" ref="S128:W128" si="241">(1250*S36)+((1500*(S41+S43))+(500*S50)+((1500*(S54+S55+S56))+(1250*S59)))</f>
        <v>9250</v>
      </c>
      <c r="T128" s="242">
        <f t="shared" si="241"/>
        <v>0</v>
      </c>
      <c r="U128" s="242">
        <f t="shared" si="241"/>
        <v>0</v>
      </c>
      <c r="V128" s="242">
        <f t="shared" si="241"/>
        <v>0</v>
      </c>
      <c r="W128" s="242">
        <f t="shared" si="241"/>
        <v>0</v>
      </c>
      <c r="X128" s="241">
        <f t="shared" si="199"/>
        <v>70500</v>
      </c>
      <c r="Z128" s="242">
        <f>(1250*Z36)+((1500*(Z41+Z43))+(500*Z50)+((1500*(Z54+Z55+Z56))+(1250*Z59)))</f>
        <v>79500</v>
      </c>
      <c r="AA128" s="242">
        <f t="shared" ref="AA128:AE128" si="242">(1250*AA36)+((1500*(AA41+AA43))+(500*AA50)+((1500*(AA54+AA55+AA56))+(1250*AA59)))</f>
        <v>12500</v>
      </c>
      <c r="AB128" s="242">
        <f t="shared" si="242"/>
        <v>0</v>
      </c>
      <c r="AC128" s="242">
        <f t="shared" si="242"/>
        <v>0</v>
      </c>
      <c r="AD128" s="242">
        <f t="shared" si="242"/>
        <v>0</v>
      </c>
      <c r="AE128" s="242">
        <f t="shared" si="242"/>
        <v>0</v>
      </c>
      <c r="AF128" s="241">
        <f t="shared" si="200"/>
        <v>92000</v>
      </c>
      <c r="AH128" s="242">
        <f>(1250*AH36)+((1500*(AH41+AH43))+(500*AH50)+((1500*(AH54+AH55+AH56))+(1250*AH59)))</f>
        <v>138000</v>
      </c>
      <c r="AI128" s="242">
        <f t="shared" ref="AI128:AM128" si="243">(1250*AI36)+((1500*(AI41+AI43))+(500*AI50)+((1500*(AI54+AI55+AI56))+(1250*AI59)))</f>
        <v>23750</v>
      </c>
      <c r="AJ128" s="242">
        <f t="shared" si="243"/>
        <v>0</v>
      </c>
      <c r="AK128" s="242">
        <f t="shared" si="243"/>
        <v>0</v>
      </c>
      <c r="AL128" s="242">
        <f t="shared" si="243"/>
        <v>0</v>
      </c>
      <c r="AM128" s="242">
        <f t="shared" si="243"/>
        <v>0</v>
      </c>
      <c r="AN128" s="241">
        <f t="shared" si="201"/>
        <v>161750</v>
      </c>
      <c r="AP128" s="242">
        <f>(1250*AP36)+((1500*(AP41+AP43))+(500*AP50)+((1500*(AP54+AP55+AP56))+(1250*AP59)))*0.5</f>
        <v>38250</v>
      </c>
      <c r="AQ128" s="242">
        <f t="shared" ref="AQ128:AU128" si="244">(1250*AQ36)+((1500*(AQ41+AQ43))+(500*AQ50)+((1500*(AQ54+AQ55+AQ56))+(1250*AQ59)))</f>
        <v>6750</v>
      </c>
      <c r="AR128" s="242">
        <f t="shared" si="244"/>
        <v>0</v>
      </c>
      <c r="AS128" s="242">
        <f t="shared" si="244"/>
        <v>0</v>
      </c>
      <c r="AT128" s="242">
        <f t="shared" si="244"/>
        <v>1500</v>
      </c>
      <c r="AU128" s="242">
        <f t="shared" si="244"/>
        <v>0</v>
      </c>
      <c r="AV128" s="241">
        <f t="shared" si="202"/>
        <v>46500</v>
      </c>
      <c r="AX128" s="242">
        <f>(1250*AX36)+((1500*(AX41+AX43))+(500*AX50)+((1500*(AX54+AX55+AX56))+(1250*AX59)))</f>
        <v>3000</v>
      </c>
      <c r="AY128" s="242">
        <f t="shared" ref="AY128:BC128" si="245">(1250*AY36)+((1500*(AY41+AY43))+(500*AY50)+((1500*(AY54+AY55+AY56))+(1250*AY59)))</f>
        <v>1750</v>
      </c>
      <c r="AZ128" s="242">
        <f t="shared" si="245"/>
        <v>0</v>
      </c>
      <c r="BA128" s="242">
        <f t="shared" si="245"/>
        <v>0</v>
      </c>
      <c r="BB128" s="242">
        <f t="shared" si="245"/>
        <v>500</v>
      </c>
      <c r="BC128" s="242">
        <f t="shared" si="245"/>
        <v>0</v>
      </c>
      <c r="BD128" s="241">
        <f t="shared" si="203"/>
        <v>5250</v>
      </c>
      <c r="BF128" s="242">
        <f>(1250*BF36)+((1500*(BF41+BF43))+(500*BF50)+((1500*(BF54+BF55+BF56))+(1250*BF59)))</f>
        <v>1250</v>
      </c>
      <c r="BG128" s="242">
        <f t="shared" ref="BG128:BK128" si="246">(1250*BG36)+((1500*(BG41+BG43))+(500*BG50)+((1500*(BG54+BG55+BG56))+(1250*BG59)))</f>
        <v>0</v>
      </c>
      <c r="BH128" s="242">
        <f t="shared" si="246"/>
        <v>0</v>
      </c>
      <c r="BI128" s="242">
        <f t="shared" si="246"/>
        <v>0</v>
      </c>
      <c r="BJ128" s="242">
        <f t="shared" si="246"/>
        <v>1500</v>
      </c>
      <c r="BK128" s="242">
        <f t="shared" si="246"/>
        <v>0</v>
      </c>
      <c r="BL128" s="241">
        <f t="shared" ref="BL128:BL129" si="247">SUM(BF128:BK128)</f>
        <v>2750</v>
      </c>
      <c r="BN128" s="241">
        <f t="shared" si="238"/>
        <v>519500</v>
      </c>
      <c r="BO128" s="241">
        <f t="shared" si="226"/>
        <v>93500</v>
      </c>
      <c r="BP128" s="241">
        <f t="shared" si="226"/>
        <v>0</v>
      </c>
      <c r="BQ128" s="241">
        <f t="shared" si="226"/>
        <v>0</v>
      </c>
      <c r="BR128" s="241">
        <f t="shared" si="226"/>
        <v>5000</v>
      </c>
      <c r="BS128" s="241">
        <f t="shared" si="226"/>
        <v>0</v>
      </c>
      <c r="BT128" s="241">
        <f t="shared" ref="BT128:BT129" si="248">SUM(BN128:BS128)</f>
        <v>618000</v>
      </c>
    </row>
    <row r="129" spans="1:72" x14ac:dyDescent="0.25">
      <c r="A129" s="201" t="s">
        <v>246</v>
      </c>
      <c r="B129" s="242">
        <f>(175*B36)+((175*(B41+B43))+(75*B50)+((175*(B54+B55+B56))+(1250*B59)))*1.09</f>
        <v>9230.25</v>
      </c>
      <c r="C129" s="242">
        <f t="shared" ref="C129:G129" si="249">(175*C36)+((175*(C41+C43))+(75*C50)+((175*(C54+C55+C56))+(1250*C59)))*1.09</f>
        <v>1392.75</v>
      </c>
      <c r="D129" s="242">
        <f t="shared" si="249"/>
        <v>0</v>
      </c>
      <c r="E129" s="242">
        <f t="shared" si="249"/>
        <v>0</v>
      </c>
      <c r="F129" s="242">
        <f t="shared" si="249"/>
        <v>190.75</v>
      </c>
      <c r="G129" s="242">
        <f t="shared" si="249"/>
        <v>0</v>
      </c>
      <c r="H129" s="241">
        <f t="shared" si="197"/>
        <v>10813.75</v>
      </c>
      <c r="J129" s="242">
        <f>(175*J36)+((175*(J41+J43))+(75*J50)+((175*(J54+J55+J56))+(1250*J59)))*1.09</f>
        <v>23343</v>
      </c>
      <c r="K129" s="242">
        <f t="shared" ref="K129:O129" si="250">(175*K36)+((175*(K41+K43))+(75*K50)+((175*(K54+K55+K56))+(1250*K59)))*1.09</f>
        <v>3828.25</v>
      </c>
      <c r="L129" s="242">
        <f t="shared" si="250"/>
        <v>0</v>
      </c>
      <c r="M129" s="242">
        <f t="shared" si="250"/>
        <v>0</v>
      </c>
      <c r="N129" s="242">
        <f t="shared" si="250"/>
        <v>0</v>
      </c>
      <c r="O129" s="242">
        <f t="shared" si="250"/>
        <v>0</v>
      </c>
      <c r="P129" s="241">
        <f t="shared" si="198"/>
        <v>27171.25</v>
      </c>
      <c r="R129" s="242">
        <f>(175*R36)+((175*(R41+R43))+(75*R50)+((175*(R54+R55+R56))+(1250*R59)))*1.09</f>
        <v>9825.5</v>
      </c>
      <c r="S129" s="242">
        <f t="shared" ref="S129:W129" si="251">(175*S36)+((175*(S41+S43))+(75*S50)+((175*(S54+S55+S56))+(1250*S59)))*1.09</f>
        <v>1313.125</v>
      </c>
      <c r="T129" s="242">
        <f t="shared" si="251"/>
        <v>0</v>
      </c>
      <c r="U129" s="242">
        <f t="shared" si="251"/>
        <v>0</v>
      </c>
      <c r="V129" s="242">
        <f t="shared" si="251"/>
        <v>0</v>
      </c>
      <c r="W129" s="242">
        <f t="shared" si="251"/>
        <v>0</v>
      </c>
      <c r="X129" s="241">
        <f t="shared" si="199"/>
        <v>11138.625</v>
      </c>
      <c r="Z129" s="242">
        <f>(175*Z36)+((175*(Z41+Z43))+(75*Z50)+((175*(Z54+Z55+Z56))+(1250*Z59)))*1.09</f>
        <v>13506</v>
      </c>
      <c r="AA129" s="242">
        <f t="shared" ref="AA129:AE129" si="252">(175*AA36)+((175*(AA41+AA43))+(75*AA50)+((175*(AA54+AA55+AA56))+(1250*AA59)))*1.09</f>
        <v>1760.625</v>
      </c>
      <c r="AB129" s="242">
        <f t="shared" si="252"/>
        <v>0</v>
      </c>
      <c r="AC129" s="242">
        <f t="shared" si="252"/>
        <v>0</v>
      </c>
      <c r="AD129" s="242">
        <f t="shared" si="252"/>
        <v>0</v>
      </c>
      <c r="AE129" s="242">
        <f t="shared" si="252"/>
        <v>0</v>
      </c>
      <c r="AF129" s="241">
        <f t="shared" si="200"/>
        <v>15266.625</v>
      </c>
      <c r="AH129" s="242">
        <f>(175*AH36)+((175*(AH41+AH43))+(75*AH50)+((175*(AH54+AH55+AH56))+(1250*AH59)))*1.09</f>
        <v>24090.25</v>
      </c>
      <c r="AI129" s="242">
        <f t="shared" ref="AI129:AM129" si="253">(175*AI36)+((175*(AI41+AI43))+(75*AI50)+((175*(AI54+AI55+AI56))+(1250*AI59)))*1.09</f>
        <v>3446.75</v>
      </c>
      <c r="AJ129" s="242">
        <f t="shared" si="253"/>
        <v>0</v>
      </c>
      <c r="AK129" s="242">
        <f t="shared" si="253"/>
        <v>0</v>
      </c>
      <c r="AL129" s="242">
        <f t="shared" si="253"/>
        <v>0</v>
      </c>
      <c r="AM129" s="242">
        <f t="shared" si="253"/>
        <v>0</v>
      </c>
      <c r="AN129" s="241">
        <f t="shared" si="201"/>
        <v>27537</v>
      </c>
      <c r="AP129" s="242">
        <f>(175*AP36)+((175*(AP41+AP43))+(75*AP50)+((175*(AP54+AP55+AP56))+(1250*AP59)))*1.09</f>
        <v>5440.75</v>
      </c>
      <c r="AQ129" s="242">
        <f t="shared" ref="AQ129:AU129" si="254">(175*AQ36)+((175*(AQ41+AQ43))+(75*AQ50)+((175*(AQ54+AQ55+AQ56))+(1250*AQ59)))*1.09</f>
        <v>961</v>
      </c>
      <c r="AR129" s="242">
        <f t="shared" si="254"/>
        <v>0</v>
      </c>
      <c r="AS129" s="242">
        <f t="shared" si="254"/>
        <v>0</v>
      </c>
      <c r="AT129" s="242">
        <f t="shared" si="254"/>
        <v>245.25000000000003</v>
      </c>
      <c r="AU129" s="242">
        <f t="shared" si="254"/>
        <v>0</v>
      </c>
      <c r="AV129" s="241">
        <f t="shared" si="202"/>
        <v>6647</v>
      </c>
      <c r="AX129" s="242">
        <f>(175*AX36)+((175*(AX41+AX43))+(75*AX50)+((175*(AX54+AX55+AX56))+(1250*AX59)))*1.09</f>
        <v>436.00000000000006</v>
      </c>
      <c r="AY129" s="242">
        <f t="shared" ref="AY129:BC129" si="255">(175*AY36)+((175*(AY41+AY43))+(75*AY50)+((175*(AY54+AY55+AY56))+(1250*AY59)))*1.09</f>
        <v>256.75</v>
      </c>
      <c r="AZ129" s="242">
        <f t="shared" si="255"/>
        <v>0</v>
      </c>
      <c r="BA129" s="242">
        <f t="shared" si="255"/>
        <v>0</v>
      </c>
      <c r="BB129" s="242">
        <f t="shared" si="255"/>
        <v>81.75</v>
      </c>
      <c r="BC129" s="242">
        <f t="shared" si="255"/>
        <v>0</v>
      </c>
      <c r="BD129" s="241">
        <f t="shared" si="203"/>
        <v>774.5</v>
      </c>
      <c r="BF129" s="242">
        <f>(175*BF36)+((175*(BF41+BF43))+(75*BF50)+((175*(BF54+BF55+BF56))+(1250*BF59)))*1.09</f>
        <v>175</v>
      </c>
      <c r="BG129" s="242">
        <f t="shared" ref="BG129:BK129" si="256">(175*BG36)+((175*(BG41+BG43))+(75*BG50)+((175*(BG54+BG55+BG56))+(1250*BG59)))*1.09</f>
        <v>0</v>
      </c>
      <c r="BH129" s="242">
        <f t="shared" si="256"/>
        <v>0</v>
      </c>
      <c r="BI129" s="242">
        <f t="shared" si="256"/>
        <v>0</v>
      </c>
      <c r="BJ129" s="242">
        <f t="shared" si="256"/>
        <v>190.75</v>
      </c>
      <c r="BK129" s="242">
        <f t="shared" si="256"/>
        <v>0</v>
      </c>
      <c r="BL129" s="241">
        <f t="shared" si="247"/>
        <v>365.75</v>
      </c>
      <c r="BN129" s="241">
        <f t="shared" si="238"/>
        <v>86046.75</v>
      </c>
      <c r="BO129" s="241">
        <f t="shared" si="226"/>
        <v>12959.25</v>
      </c>
      <c r="BP129" s="241">
        <f t="shared" si="226"/>
        <v>0</v>
      </c>
      <c r="BQ129" s="241">
        <f t="shared" si="226"/>
        <v>0</v>
      </c>
      <c r="BR129" s="241">
        <f t="shared" si="226"/>
        <v>708.5</v>
      </c>
      <c r="BS129" s="241">
        <f t="shared" si="226"/>
        <v>0</v>
      </c>
      <c r="BT129" s="241">
        <f t="shared" si="248"/>
        <v>99714.5</v>
      </c>
    </row>
    <row r="130" spans="1:72" x14ac:dyDescent="0.25">
      <c r="A130" s="201" t="s">
        <v>247</v>
      </c>
      <c r="B130" s="244"/>
      <c r="C130" s="244"/>
      <c r="D130" s="244"/>
      <c r="E130" s="244"/>
      <c r="F130" s="244"/>
      <c r="G130" s="244"/>
      <c r="H130" s="241">
        <f t="shared" si="197"/>
        <v>0</v>
      </c>
      <c r="J130" s="244">
        <v>0</v>
      </c>
      <c r="K130" s="244"/>
      <c r="L130" s="244"/>
      <c r="M130" s="244"/>
      <c r="N130" s="244">
        <v>0</v>
      </c>
      <c r="O130" s="244"/>
      <c r="P130" s="241">
        <f t="shared" si="198"/>
        <v>0</v>
      </c>
      <c r="R130" s="244">
        <v>0</v>
      </c>
      <c r="S130" s="244"/>
      <c r="T130" s="244"/>
      <c r="U130" s="244"/>
      <c r="V130" s="244">
        <v>0</v>
      </c>
      <c r="W130" s="244"/>
      <c r="X130" s="241">
        <f t="shared" si="199"/>
        <v>0</v>
      </c>
      <c r="Z130" s="244">
        <v>0</v>
      </c>
      <c r="AA130" s="244"/>
      <c r="AB130" s="244"/>
      <c r="AC130" s="244"/>
      <c r="AD130" s="244">
        <v>0</v>
      </c>
      <c r="AE130" s="244"/>
      <c r="AF130" s="241">
        <f t="shared" si="200"/>
        <v>0</v>
      </c>
      <c r="AH130" s="244">
        <v>0</v>
      </c>
      <c r="AI130" s="244"/>
      <c r="AJ130" s="244"/>
      <c r="AK130" s="244"/>
      <c r="AL130" s="244">
        <v>0</v>
      </c>
      <c r="AM130" s="244"/>
      <c r="AN130" s="241">
        <f t="shared" si="201"/>
        <v>0</v>
      </c>
      <c r="AP130" s="279">
        <v>2500</v>
      </c>
      <c r="AQ130" s="244"/>
      <c r="AR130" s="244"/>
      <c r="AS130" s="244"/>
      <c r="AT130" s="244">
        <v>0</v>
      </c>
      <c r="AU130" s="244"/>
      <c r="AV130" s="241">
        <f t="shared" si="202"/>
        <v>2500</v>
      </c>
      <c r="AX130" s="244">
        <f>(125*(AX17+10)*12)+6000+15000+7000</f>
        <v>316000</v>
      </c>
      <c r="AY130" s="244">
        <v>20500</v>
      </c>
      <c r="AZ130" s="244"/>
      <c r="BA130" s="244"/>
      <c r="BB130" s="244">
        <v>0</v>
      </c>
      <c r="BC130" s="244"/>
      <c r="BD130" s="241">
        <f t="shared" si="203"/>
        <v>336500</v>
      </c>
      <c r="BF130" s="244"/>
      <c r="BG130" s="244"/>
      <c r="BH130" s="244"/>
      <c r="BI130" s="244"/>
      <c r="BJ130" s="244"/>
      <c r="BK130" s="244"/>
      <c r="BL130" s="241">
        <f t="shared" si="204"/>
        <v>0</v>
      </c>
      <c r="BN130" s="241">
        <f t="shared" si="238"/>
        <v>318500</v>
      </c>
      <c r="BO130" s="241">
        <f t="shared" si="226"/>
        <v>20500</v>
      </c>
      <c r="BP130" s="241">
        <f t="shared" si="226"/>
        <v>0</v>
      </c>
      <c r="BQ130" s="241">
        <f t="shared" si="226"/>
        <v>0</v>
      </c>
      <c r="BR130" s="241">
        <f t="shared" si="226"/>
        <v>0</v>
      </c>
      <c r="BS130" s="241">
        <f t="shared" si="226"/>
        <v>0</v>
      </c>
      <c r="BT130" s="241">
        <f t="shared" ref="BT130:BT131" si="257">SUM(BN130:BS130)</f>
        <v>339000</v>
      </c>
    </row>
    <row r="131" spans="1:72" x14ac:dyDescent="0.25">
      <c r="A131" s="202" t="s">
        <v>248</v>
      </c>
      <c r="B131" s="245">
        <v>10000</v>
      </c>
      <c r="C131" s="245"/>
      <c r="D131" s="245"/>
      <c r="E131" s="245"/>
      <c r="F131" s="245"/>
      <c r="G131" s="245"/>
      <c r="H131" s="262">
        <f t="shared" si="197"/>
        <v>10000</v>
      </c>
      <c r="J131" s="245">
        <v>15000</v>
      </c>
      <c r="K131" s="245"/>
      <c r="L131" s="245"/>
      <c r="M131" s="245"/>
      <c r="N131" s="245"/>
      <c r="O131" s="245"/>
      <c r="P131" s="262">
        <f t="shared" si="198"/>
        <v>15000</v>
      </c>
      <c r="R131" s="245">
        <v>15000</v>
      </c>
      <c r="S131" s="245"/>
      <c r="T131" s="245"/>
      <c r="U131" s="245"/>
      <c r="V131" s="245"/>
      <c r="W131" s="245"/>
      <c r="X131" s="262">
        <f t="shared" si="199"/>
        <v>15000</v>
      </c>
      <c r="Z131" s="245">
        <v>15000</v>
      </c>
      <c r="AA131" s="245"/>
      <c r="AB131" s="245"/>
      <c r="AC131" s="245"/>
      <c r="AD131" s="245"/>
      <c r="AE131" s="245"/>
      <c r="AF131" s="262">
        <f t="shared" si="200"/>
        <v>15000</v>
      </c>
      <c r="AH131" s="245">
        <v>15000</v>
      </c>
      <c r="AI131" s="245"/>
      <c r="AJ131" s="245"/>
      <c r="AK131" s="245"/>
      <c r="AL131" s="245"/>
      <c r="AM131" s="245"/>
      <c r="AN131" s="262">
        <f t="shared" si="201"/>
        <v>15000</v>
      </c>
      <c r="AP131" s="245">
        <v>3000</v>
      </c>
      <c r="AQ131" s="245"/>
      <c r="AR131" s="245"/>
      <c r="AS131" s="245"/>
      <c r="AT131" s="245"/>
      <c r="AU131" s="245"/>
      <c r="AV131" s="262">
        <f t="shared" si="202"/>
        <v>3000</v>
      </c>
      <c r="AX131" s="245">
        <v>2000</v>
      </c>
      <c r="AY131" s="245"/>
      <c r="AZ131" s="245"/>
      <c r="BA131" s="245"/>
      <c r="BB131" s="245"/>
      <c r="BC131" s="245"/>
      <c r="BD131" s="262">
        <f t="shared" si="203"/>
        <v>2000</v>
      </c>
      <c r="BF131" s="245"/>
      <c r="BG131" s="245"/>
      <c r="BH131" s="245"/>
      <c r="BI131" s="245"/>
      <c r="BJ131" s="245"/>
      <c r="BK131" s="245"/>
      <c r="BL131" s="262">
        <f t="shared" si="204"/>
        <v>0</v>
      </c>
      <c r="BN131" s="241">
        <f t="shared" si="238"/>
        <v>75000</v>
      </c>
      <c r="BO131" s="241">
        <f t="shared" si="226"/>
        <v>0</v>
      </c>
      <c r="BP131" s="241">
        <f t="shared" si="226"/>
        <v>0</v>
      </c>
      <c r="BQ131" s="241">
        <f t="shared" si="226"/>
        <v>0</v>
      </c>
      <c r="BR131" s="241">
        <f t="shared" si="226"/>
        <v>0</v>
      </c>
      <c r="BS131" s="241">
        <f t="shared" si="226"/>
        <v>0</v>
      </c>
      <c r="BT131" s="262">
        <f t="shared" si="257"/>
        <v>75000</v>
      </c>
    </row>
    <row r="132" spans="1:72" x14ac:dyDescent="0.25">
      <c r="A132" s="207" t="s">
        <v>330</v>
      </c>
      <c r="B132" s="258">
        <f>SUM(B126:B131)</f>
        <v>1606454.5901250001</v>
      </c>
      <c r="C132" s="258">
        <f t="shared" ref="C132:H132" si="258">SUM(C126:C131)</f>
        <v>256633.5</v>
      </c>
      <c r="D132" s="258">
        <f t="shared" si="258"/>
        <v>0</v>
      </c>
      <c r="E132" s="258">
        <f t="shared" si="258"/>
        <v>0</v>
      </c>
      <c r="F132" s="258">
        <f t="shared" si="258"/>
        <v>36127.625</v>
      </c>
      <c r="G132" s="258">
        <f t="shared" si="258"/>
        <v>0</v>
      </c>
      <c r="H132" s="258">
        <f t="shared" si="258"/>
        <v>1899215.7151250001</v>
      </c>
      <c r="J132" s="258">
        <f>SUM(J126:J131)</f>
        <v>4044780.2926250002</v>
      </c>
      <c r="K132" s="258">
        <f t="shared" ref="K132:P132" si="259">SUM(K126:K131)</f>
        <v>715467.77500000002</v>
      </c>
      <c r="L132" s="258">
        <f t="shared" si="259"/>
        <v>0</v>
      </c>
      <c r="M132" s="258">
        <f t="shared" si="259"/>
        <v>0</v>
      </c>
      <c r="N132" s="258">
        <f t="shared" si="259"/>
        <v>0</v>
      </c>
      <c r="O132" s="258">
        <f t="shared" si="259"/>
        <v>0</v>
      </c>
      <c r="P132" s="258">
        <f t="shared" si="259"/>
        <v>4760248.0676250001</v>
      </c>
      <c r="R132" s="258">
        <f>SUM(R126:R131)</f>
        <v>1769372.5462500001</v>
      </c>
      <c r="S132" s="258">
        <f t="shared" ref="S132:X132" si="260">SUM(S126:S131)</f>
        <v>223328.75</v>
      </c>
      <c r="T132" s="258">
        <f t="shared" si="260"/>
        <v>0</v>
      </c>
      <c r="U132" s="258">
        <f t="shared" si="260"/>
        <v>0</v>
      </c>
      <c r="V132" s="258">
        <f t="shared" si="260"/>
        <v>0</v>
      </c>
      <c r="W132" s="258">
        <f t="shared" si="260"/>
        <v>0</v>
      </c>
      <c r="X132" s="258">
        <f t="shared" si="260"/>
        <v>1992701.2962500001</v>
      </c>
      <c r="Z132" s="258">
        <f>SUM(Z126:Z131)</f>
        <v>2221304.89805</v>
      </c>
      <c r="AA132" s="258">
        <f t="shared" ref="AA132:AF132" si="261">SUM(AA126:AA131)</f>
        <v>276715.875</v>
      </c>
      <c r="AB132" s="258">
        <f t="shared" si="261"/>
        <v>0</v>
      </c>
      <c r="AC132" s="258">
        <f t="shared" si="261"/>
        <v>0</v>
      </c>
      <c r="AD132" s="258">
        <f t="shared" si="261"/>
        <v>0</v>
      </c>
      <c r="AE132" s="258">
        <f t="shared" si="261"/>
        <v>0</v>
      </c>
      <c r="AF132" s="258">
        <f t="shared" si="261"/>
        <v>2498020.77305</v>
      </c>
      <c r="AH132" s="258">
        <f>SUM(AH126:AH131)</f>
        <v>3877797.7624999997</v>
      </c>
      <c r="AI132" s="258">
        <f t="shared" ref="AI132:AN132" si="262">SUM(AI126:AI131)</f>
        <v>709533</v>
      </c>
      <c r="AJ132" s="258">
        <f t="shared" si="262"/>
        <v>0</v>
      </c>
      <c r="AK132" s="258">
        <f t="shared" si="262"/>
        <v>0</v>
      </c>
      <c r="AL132" s="258">
        <f t="shared" si="262"/>
        <v>0</v>
      </c>
      <c r="AM132" s="258">
        <f t="shared" si="262"/>
        <v>0</v>
      </c>
      <c r="AN132" s="258">
        <f t="shared" si="262"/>
        <v>4587330.7624999993</v>
      </c>
      <c r="AP132" s="258">
        <f>SUM(AP126:AP131)</f>
        <v>1033495.3375</v>
      </c>
      <c r="AQ132" s="258">
        <f t="shared" ref="AQ132:AV132" si="263">SUM(AQ126:AQ131)</f>
        <v>169442.65</v>
      </c>
      <c r="AR132" s="258">
        <f t="shared" si="263"/>
        <v>0</v>
      </c>
      <c r="AS132" s="258">
        <f t="shared" si="263"/>
        <v>0</v>
      </c>
      <c r="AT132" s="258">
        <f t="shared" si="263"/>
        <v>59057.581139999995</v>
      </c>
      <c r="AU132" s="258">
        <f t="shared" si="263"/>
        <v>0</v>
      </c>
      <c r="AV132" s="258">
        <f t="shared" si="263"/>
        <v>1261995.56864</v>
      </c>
      <c r="AX132" s="258">
        <f>SUM(AX126:AX131)</f>
        <v>426906.68354999996</v>
      </c>
      <c r="AY132" s="258">
        <f t="shared" ref="AY132:BD132" si="264">SUM(AY126:AY131)</f>
        <v>84290.306249999994</v>
      </c>
      <c r="AZ132" s="258">
        <f t="shared" si="264"/>
        <v>0</v>
      </c>
      <c r="BA132" s="258">
        <f t="shared" si="264"/>
        <v>0</v>
      </c>
      <c r="BB132" s="258">
        <f t="shared" si="264"/>
        <v>16815.996574999997</v>
      </c>
      <c r="BC132" s="258">
        <f t="shared" si="264"/>
        <v>0</v>
      </c>
      <c r="BD132" s="258">
        <f t="shared" si="264"/>
        <v>528012.98637499998</v>
      </c>
      <c r="BF132" s="258">
        <f>SUM(BF126:BF131)</f>
        <v>46976</v>
      </c>
      <c r="BG132" s="258">
        <f t="shared" ref="BG132:BL132" si="265">SUM(BG126:BG131)</f>
        <v>0</v>
      </c>
      <c r="BH132" s="258">
        <f t="shared" si="265"/>
        <v>0</v>
      </c>
      <c r="BI132" s="258">
        <f t="shared" si="265"/>
        <v>0</v>
      </c>
      <c r="BJ132" s="258">
        <f t="shared" si="265"/>
        <v>55113.4375</v>
      </c>
      <c r="BK132" s="258">
        <f t="shared" si="265"/>
        <v>0</v>
      </c>
      <c r="BL132" s="258">
        <f t="shared" si="265"/>
        <v>102089.4375</v>
      </c>
      <c r="BN132" s="258">
        <f>SUM(BN126:BN131)</f>
        <v>15027088.1106</v>
      </c>
      <c r="BO132" s="258">
        <f t="shared" ref="BO132:BT132" si="266">SUM(BO126:BO131)</f>
        <v>2435411.8562500002</v>
      </c>
      <c r="BP132" s="258">
        <f t="shared" si="266"/>
        <v>0</v>
      </c>
      <c r="BQ132" s="258">
        <f t="shared" si="266"/>
        <v>0</v>
      </c>
      <c r="BR132" s="258">
        <f t="shared" si="266"/>
        <v>167114.64021499999</v>
      </c>
      <c r="BS132" s="258">
        <f t="shared" si="266"/>
        <v>0</v>
      </c>
      <c r="BT132" s="258">
        <f t="shared" si="266"/>
        <v>17629614.607065</v>
      </c>
    </row>
    <row r="133" spans="1:72" x14ac:dyDescent="0.25">
      <c r="B133" s="263"/>
      <c r="C133" s="263"/>
      <c r="D133" s="263"/>
      <c r="E133" s="263"/>
      <c r="F133" s="263"/>
      <c r="G133" s="263"/>
      <c r="H133" s="263"/>
      <c r="J133" s="263"/>
      <c r="K133" s="263"/>
      <c r="L133" s="263"/>
      <c r="M133" s="263"/>
      <c r="N133" s="263"/>
      <c r="O133" s="263"/>
      <c r="P133" s="263"/>
      <c r="R133" s="263"/>
      <c r="S133" s="263"/>
      <c r="T133" s="263"/>
      <c r="U133" s="263"/>
      <c r="V133" s="263"/>
      <c r="W133" s="263"/>
      <c r="X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P133" s="263"/>
      <c r="AQ133" s="263"/>
      <c r="AR133" s="263"/>
      <c r="AS133" s="263"/>
      <c r="AT133" s="263"/>
      <c r="AU133" s="263"/>
      <c r="AV133" s="263"/>
      <c r="AX133" s="263"/>
      <c r="AY133" s="263"/>
      <c r="AZ133" s="263"/>
      <c r="BA133" s="263"/>
      <c r="BB133" s="263"/>
      <c r="BC133" s="263"/>
      <c r="BD133" s="263"/>
      <c r="BF133" s="263"/>
      <c r="BG133" s="263"/>
      <c r="BH133" s="263"/>
      <c r="BI133" s="263"/>
      <c r="BJ133" s="263"/>
      <c r="BK133" s="263"/>
      <c r="BL133" s="263"/>
      <c r="BN133" s="263"/>
      <c r="BO133" s="263"/>
      <c r="BP133" s="263"/>
      <c r="BQ133" s="263"/>
      <c r="BR133" s="263"/>
      <c r="BS133" s="263"/>
      <c r="BT133" s="263"/>
    </row>
    <row r="134" spans="1:72" x14ac:dyDescent="0.25">
      <c r="A134" s="208" t="s">
        <v>330</v>
      </c>
      <c r="B134" s="260" t="s">
        <v>309</v>
      </c>
      <c r="C134" s="260" t="s">
        <v>310</v>
      </c>
      <c r="D134" s="260" t="s">
        <v>311</v>
      </c>
      <c r="E134" s="260" t="str">
        <f>E118</f>
        <v>Other</v>
      </c>
      <c r="F134" s="260" t="s">
        <v>315</v>
      </c>
      <c r="G134" s="260" t="s">
        <v>314</v>
      </c>
      <c r="H134" s="260" t="str">
        <f>H118</f>
        <v>Horizon</v>
      </c>
      <c r="J134" s="260" t="s">
        <v>309</v>
      </c>
      <c r="K134" s="260" t="s">
        <v>310</v>
      </c>
      <c r="L134" s="260" t="s">
        <v>311</v>
      </c>
      <c r="M134" s="260" t="str">
        <f>M118</f>
        <v>Other</v>
      </c>
      <c r="N134" s="260" t="s">
        <v>315</v>
      </c>
      <c r="O134" s="260" t="s">
        <v>314</v>
      </c>
      <c r="P134" s="260" t="str">
        <f>P118</f>
        <v>Cadence</v>
      </c>
      <c r="R134" s="260" t="s">
        <v>309</v>
      </c>
      <c r="S134" s="260" t="s">
        <v>310</v>
      </c>
      <c r="T134" s="260" t="s">
        <v>311</v>
      </c>
      <c r="U134" s="260" t="str">
        <f>U118</f>
        <v>Other</v>
      </c>
      <c r="V134" s="260" t="s">
        <v>315</v>
      </c>
      <c r="W134" s="260" t="s">
        <v>314</v>
      </c>
      <c r="X134" s="260" t="str">
        <f>X118</f>
        <v>St. Rose</v>
      </c>
      <c r="Z134" s="260" t="s">
        <v>309</v>
      </c>
      <c r="AA134" s="260" t="s">
        <v>310</v>
      </c>
      <c r="AB134" s="260" t="s">
        <v>311</v>
      </c>
      <c r="AC134" s="260" t="str">
        <f>AC118</f>
        <v>Other</v>
      </c>
      <c r="AD134" s="260" t="s">
        <v>315</v>
      </c>
      <c r="AE134" s="260" t="s">
        <v>314</v>
      </c>
      <c r="AF134" s="260" t="str">
        <f>AF118</f>
        <v>Inspirada</v>
      </c>
      <c r="AH134" s="260" t="s">
        <v>309</v>
      </c>
      <c r="AI134" s="260" t="s">
        <v>310</v>
      </c>
      <c r="AJ134" s="260" t="s">
        <v>311</v>
      </c>
      <c r="AK134" s="260" t="str">
        <f>AK118</f>
        <v>Other</v>
      </c>
      <c r="AL134" s="260" t="s">
        <v>315</v>
      </c>
      <c r="AM134" s="260" t="s">
        <v>314</v>
      </c>
      <c r="AN134" s="260" t="str">
        <f>AN118</f>
        <v>Sloan</v>
      </c>
      <c r="AP134" s="260" t="s">
        <v>309</v>
      </c>
      <c r="AQ134" s="260" t="s">
        <v>310</v>
      </c>
      <c r="AR134" s="260" t="s">
        <v>311</v>
      </c>
      <c r="AS134" s="260" t="str">
        <f>AS118</f>
        <v>Other</v>
      </c>
      <c r="AT134" s="260" t="s">
        <v>315</v>
      </c>
      <c r="AU134" s="260" t="s">
        <v>314</v>
      </c>
      <c r="AV134" s="260" t="str">
        <f>AV118</f>
        <v>Springs</v>
      </c>
      <c r="AX134" s="260" t="s">
        <v>309</v>
      </c>
      <c r="AY134" s="260" t="s">
        <v>310</v>
      </c>
      <c r="AZ134" s="260" t="s">
        <v>311</v>
      </c>
      <c r="BA134" s="260" t="str">
        <f>BA118</f>
        <v>Other</v>
      </c>
      <c r="BB134" s="260" t="s">
        <v>315</v>
      </c>
      <c r="BC134" s="260" t="s">
        <v>314</v>
      </c>
      <c r="BD134" s="260" t="str">
        <f>BD118</f>
        <v>Virtual</v>
      </c>
      <c r="BF134" s="260" t="s">
        <v>309</v>
      </c>
      <c r="BG134" s="260" t="s">
        <v>310</v>
      </c>
      <c r="BH134" s="260" t="s">
        <v>311</v>
      </c>
      <c r="BI134" s="260" t="str">
        <f>BI118</f>
        <v>Other</v>
      </c>
      <c r="BJ134" s="260" t="s">
        <v>315</v>
      </c>
      <c r="BK134" s="260" t="s">
        <v>314</v>
      </c>
      <c r="BL134" s="260" t="str">
        <f>BL118</f>
        <v>Central</v>
      </c>
      <c r="BN134" s="260" t="s">
        <v>309</v>
      </c>
      <c r="BO134" s="260" t="s">
        <v>310</v>
      </c>
      <c r="BP134" s="260" t="s">
        <v>311</v>
      </c>
      <c r="BQ134" s="260" t="str">
        <f>BQ118</f>
        <v>Other</v>
      </c>
      <c r="BR134" s="260" t="s">
        <v>315</v>
      </c>
      <c r="BS134" s="260" t="s">
        <v>314</v>
      </c>
      <c r="BT134" s="260" t="str">
        <f>BT118</f>
        <v>System</v>
      </c>
    </row>
    <row r="135" spans="1:72" x14ac:dyDescent="0.25">
      <c r="A135" s="209" t="s">
        <v>252</v>
      </c>
      <c r="B135" s="257">
        <f>(230*950)</f>
        <v>218500</v>
      </c>
      <c r="C135" s="257"/>
      <c r="D135" s="257"/>
      <c r="E135" s="257"/>
      <c r="F135" s="257"/>
      <c r="G135" s="257"/>
      <c r="H135" s="257">
        <f>SUM(B135:G135)</f>
        <v>218500</v>
      </c>
      <c r="J135" s="257">
        <f>(230*2500)</f>
        <v>575000</v>
      </c>
      <c r="L135" s="257"/>
      <c r="M135" s="257"/>
      <c r="N135" s="257"/>
      <c r="O135" s="257"/>
      <c r="P135" s="257">
        <f>SUM(J135:O135)</f>
        <v>575000</v>
      </c>
      <c r="R135" s="257">
        <f>(230*1050)</f>
        <v>241500</v>
      </c>
      <c r="S135" s="257"/>
      <c r="T135" s="257"/>
      <c r="U135" s="257"/>
      <c r="V135" s="257"/>
      <c r="W135" s="257"/>
      <c r="X135" s="257">
        <f>SUM(R135:W135)</f>
        <v>241500</v>
      </c>
      <c r="Z135" s="257">
        <f>(230*1200)</f>
        <v>276000</v>
      </c>
      <c r="AA135" s="257"/>
      <c r="AB135" s="257"/>
      <c r="AC135" s="257"/>
      <c r="AD135" s="257"/>
      <c r="AE135" s="257"/>
      <c r="AF135" s="257">
        <f>SUM(Z135:AE135)</f>
        <v>276000</v>
      </c>
      <c r="AH135" s="257">
        <f>(230*2450)</f>
        <v>563500</v>
      </c>
      <c r="AI135" s="257"/>
      <c r="AJ135" s="257"/>
      <c r="AK135" s="257"/>
      <c r="AL135" s="257"/>
      <c r="AM135" s="257"/>
      <c r="AN135" s="257">
        <f>SUM(AH135:AM135)</f>
        <v>563500</v>
      </c>
      <c r="AP135" s="257">
        <f>(230*425)</f>
        <v>97750</v>
      </c>
      <c r="AQ135" s="257"/>
      <c r="AR135" s="257"/>
      <c r="AS135" s="257"/>
      <c r="AT135" s="257"/>
      <c r="AU135" s="257"/>
      <c r="AV135" s="257">
        <f>SUM(AP135:AU135)</f>
        <v>97750</v>
      </c>
      <c r="AX135" s="257">
        <f>(450*150)</f>
        <v>67500</v>
      </c>
      <c r="AY135" s="257"/>
      <c r="AZ135" s="257"/>
      <c r="BA135" s="257"/>
      <c r="BB135" s="257"/>
      <c r="BC135" s="257"/>
      <c r="BD135" s="257">
        <f>SUM(AX135:BC135)</f>
        <v>67500</v>
      </c>
      <c r="BF135" s="257"/>
      <c r="BG135" s="257"/>
      <c r="BH135" s="257"/>
      <c r="BI135" s="257"/>
      <c r="BJ135" s="257"/>
      <c r="BK135" s="257"/>
      <c r="BL135" s="257">
        <f>SUM(BF135:BK135)</f>
        <v>0</v>
      </c>
      <c r="BN135" s="241">
        <f>B135+J135+R135+Z135+AH135+AP135+AX135+BF135</f>
        <v>2039750</v>
      </c>
      <c r="BO135" s="241">
        <f t="shared" ref="BO135:BS140" si="267">C135+K135+S135+AA135+AI135+AQ135+AY135+BG135</f>
        <v>0</v>
      </c>
      <c r="BP135" s="241">
        <f t="shared" si="267"/>
        <v>0</v>
      </c>
      <c r="BQ135" s="241">
        <f t="shared" si="267"/>
        <v>0</v>
      </c>
      <c r="BR135" s="241">
        <f t="shared" si="267"/>
        <v>0</v>
      </c>
      <c r="BS135" s="241">
        <f t="shared" si="267"/>
        <v>0</v>
      </c>
      <c r="BT135" s="257">
        <f>SUM(BN135:BS135)</f>
        <v>2039750</v>
      </c>
    </row>
    <row r="136" spans="1:72" x14ac:dyDescent="0.25">
      <c r="A136" s="210" t="s">
        <v>253</v>
      </c>
      <c r="B136" s="244"/>
      <c r="C136" s="244"/>
      <c r="D136" s="244"/>
      <c r="E136" s="244"/>
      <c r="F136" s="244"/>
      <c r="G136" s="244"/>
      <c r="H136" s="257">
        <f t="shared" ref="H136:H140" si="268">SUM(B136:G136)</f>
        <v>0</v>
      </c>
      <c r="J136" s="244">
        <v>475000</v>
      </c>
      <c r="K136" s="244"/>
      <c r="L136" s="244"/>
      <c r="M136" s="244"/>
      <c r="N136" s="244"/>
      <c r="O136" s="244"/>
      <c r="P136" s="257">
        <f t="shared" ref="P136:P140" si="269">SUM(J136:O136)</f>
        <v>475000</v>
      </c>
      <c r="R136" s="244"/>
      <c r="S136" s="244"/>
      <c r="T136" s="244"/>
      <c r="U136" s="244"/>
      <c r="V136" s="244"/>
      <c r="W136" s="244"/>
      <c r="X136" s="257">
        <f t="shared" ref="X136:X140" si="270">SUM(R136:W136)</f>
        <v>0</v>
      </c>
      <c r="Z136" s="244"/>
      <c r="AA136" s="244"/>
      <c r="AB136" s="244"/>
      <c r="AC136" s="244"/>
      <c r="AD136" s="244"/>
      <c r="AE136" s="244"/>
      <c r="AF136" s="257">
        <f t="shared" ref="AF136:AF140" si="271">SUM(Z136:AE136)</f>
        <v>0</v>
      </c>
      <c r="AH136" s="244">
        <v>450000</v>
      </c>
      <c r="AI136" s="244"/>
      <c r="AJ136" s="244"/>
      <c r="AK136" s="244"/>
      <c r="AL136" s="244"/>
      <c r="AM136" s="244"/>
      <c r="AN136" s="257">
        <f t="shared" ref="AN136:AN140" si="272">SUM(AH136:AM136)</f>
        <v>450000</v>
      </c>
      <c r="AP136" s="244"/>
      <c r="AQ136" s="244"/>
      <c r="AR136" s="244"/>
      <c r="AS136" s="244"/>
      <c r="AT136" s="244"/>
      <c r="AU136" s="244"/>
      <c r="AV136" s="257">
        <f t="shared" ref="AV136:AV140" si="273">SUM(AP136:AU136)</f>
        <v>0</v>
      </c>
      <c r="AX136" s="244">
        <v>32000</v>
      </c>
      <c r="AY136" s="244"/>
      <c r="AZ136" s="244"/>
      <c r="BA136" s="244"/>
      <c r="BB136" s="244"/>
      <c r="BC136" s="244"/>
      <c r="BD136" s="257">
        <f t="shared" ref="BD136:BD140" si="274">SUM(AX136:BC136)</f>
        <v>32000</v>
      </c>
      <c r="BF136" s="244"/>
      <c r="BG136" s="244"/>
      <c r="BH136" s="244"/>
      <c r="BI136" s="244"/>
      <c r="BJ136" s="244"/>
      <c r="BK136" s="244"/>
      <c r="BL136" s="257">
        <f t="shared" ref="BL136:BL140" si="275">SUM(BF136:BK136)</f>
        <v>0</v>
      </c>
      <c r="BN136" s="241">
        <f t="shared" ref="BN136:BN140" si="276">B136+J136+R136+Z136+AH136+AP136+AX136+BF136</f>
        <v>957000</v>
      </c>
      <c r="BO136" s="241">
        <f t="shared" si="267"/>
        <v>0</v>
      </c>
      <c r="BP136" s="241">
        <f t="shared" si="267"/>
        <v>0</v>
      </c>
      <c r="BQ136" s="241">
        <f t="shared" si="267"/>
        <v>0</v>
      </c>
      <c r="BR136" s="241">
        <f t="shared" si="267"/>
        <v>0</v>
      </c>
      <c r="BS136" s="241">
        <f t="shared" si="267"/>
        <v>0</v>
      </c>
      <c r="BT136" s="257">
        <f t="shared" ref="BT136:BT140" si="277">SUM(BN136:BS136)</f>
        <v>957000</v>
      </c>
    </row>
    <row r="137" spans="1:72" x14ac:dyDescent="0.25">
      <c r="A137" s="211" t="s">
        <v>254</v>
      </c>
      <c r="B137" s="244"/>
      <c r="C137" s="244"/>
      <c r="D137" s="244"/>
      <c r="E137" s="244"/>
      <c r="F137" s="244"/>
      <c r="G137" s="244"/>
      <c r="H137" s="257">
        <f t="shared" si="268"/>
        <v>0</v>
      </c>
      <c r="J137" s="244">
        <v>65000</v>
      </c>
      <c r="K137" s="244"/>
      <c r="L137" s="244"/>
      <c r="M137" s="244"/>
      <c r="N137" s="244"/>
      <c r="O137" s="244"/>
      <c r="P137" s="257">
        <f t="shared" si="269"/>
        <v>65000</v>
      </c>
      <c r="R137" s="244"/>
      <c r="S137" s="244"/>
      <c r="T137" s="244"/>
      <c r="U137" s="244"/>
      <c r="V137" s="244"/>
      <c r="W137" s="244"/>
      <c r="X137" s="257">
        <f t="shared" si="270"/>
        <v>0</v>
      </c>
      <c r="Z137" s="244"/>
      <c r="AA137" s="244"/>
      <c r="AB137" s="244"/>
      <c r="AC137" s="244"/>
      <c r="AD137" s="244"/>
      <c r="AE137" s="244"/>
      <c r="AF137" s="257">
        <f t="shared" si="271"/>
        <v>0</v>
      </c>
      <c r="AH137" s="244">
        <f>1500*100</f>
        <v>150000</v>
      </c>
      <c r="AI137" s="244"/>
      <c r="AJ137" s="244"/>
      <c r="AK137" s="244"/>
      <c r="AL137" s="244"/>
      <c r="AM137" s="244"/>
      <c r="AN137" s="257">
        <f t="shared" si="272"/>
        <v>150000</v>
      </c>
      <c r="AP137" s="244"/>
      <c r="AQ137" s="244"/>
      <c r="AR137" s="244"/>
      <c r="AS137" s="244"/>
      <c r="AT137" s="244"/>
      <c r="AU137" s="244"/>
      <c r="AV137" s="257">
        <f t="shared" si="273"/>
        <v>0</v>
      </c>
      <c r="AX137" s="244">
        <v>0</v>
      </c>
      <c r="AY137" s="244"/>
      <c r="AZ137" s="244"/>
      <c r="BA137" s="244"/>
      <c r="BB137" s="244"/>
      <c r="BC137" s="244"/>
      <c r="BD137" s="257">
        <f t="shared" si="274"/>
        <v>0</v>
      </c>
      <c r="BF137" s="244"/>
      <c r="BG137" s="244"/>
      <c r="BH137" s="244"/>
      <c r="BI137" s="244"/>
      <c r="BJ137" s="244">
        <v>290000</v>
      </c>
      <c r="BK137" s="244"/>
      <c r="BL137" s="257">
        <f t="shared" si="275"/>
        <v>290000</v>
      </c>
      <c r="BN137" s="241">
        <f t="shared" si="276"/>
        <v>215000</v>
      </c>
      <c r="BO137" s="241">
        <f t="shared" si="267"/>
        <v>0</v>
      </c>
      <c r="BP137" s="241">
        <f t="shared" si="267"/>
        <v>0</v>
      </c>
      <c r="BQ137" s="241">
        <f t="shared" si="267"/>
        <v>0</v>
      </c>
      <c r="BR137" s="241">
        <f t="shared" si="267"/>
        <v>290000</v>
      </c>
      <c r="BS137" s="241">
        <f t="shared" si="267"/>
        <v>0</v>
      </c>
      <c r="BT137" s="257">
        <f t="shared" si="277"/>
        <v>505000</v>
      </c>
    </row>
    <row r="138" spans="1:72" x14ac:dyDescent="0.25">
      <c r="A138" s="211" t="s">
        <v>255</v>
      </c>
      <c r="B138" s="244">
        <f>36*B17</f>
        <v>33372</v>
      </c>
      <c r="C138" s="244"/>
      <c r="D138" s="244"/>
      <c r="E138" s="244"/>
      <c r="F138" s="244"/>
      <c r="G138" s="244"/>
      <c r="H138" s="257">
        <f t="shared" si="268"/>
        <v>33372</v>
      </c>
      <c r="J138" s="244">
        <f>36*J17</f>
        <v>90504</v>
      </c>
      <c r="K138" s="244"/>
      <c r="L138" s="244"/>
      <c r="M138" s="244"/>
      <c r="N138" s="244"/>
      <c r="O138" s="244"/>
      <c r="P138" s="257">
        <f t="shared" si="269"/>
        <v>90504</v>
      </c>
      <c r="R138" s="244">
        <f>36*R17</f>
        <v>37080</v>
      </c>
      <c r="S138" s="244"/>
      <c r="T138" s="244"/>
      <c r="U138" s="244"/>
      <c r="V138" s="244"/>
      <c r="W138" s="244"/>
      <c r="X138" s="257">
        <f t="shared" si="270"/>
        <v>37080</v>
      </c>
      <c r="Z138" s="244">
        <f>36*Z17</f>
        <v>43128</v>
      </c>
      <c r="AA138" s="244"/>
      <c r="AB138" s="244"/>
      <c r="AC138" s="244"/>
      <c r="AD138" s="244"/>
      <c r="AE138" s="244"/>
      <c r="AF138" s="257">
        <f t="shared" si="271"/>
        <v>43128</v>
      </c>
      <c r="AH138" s="244">
        <f>36*AH17+20000</f>
        <v>109928</v>
      </c>
      <c r="AI138" s="244"/>
      <c r="AJ138" s="244"/>
      <c r="AK138" s="244"/>
      <c r="AL138" s="244"/>
      <c r="AM138" s="244"/>
      <c r="AN138" s="257">
        <f t="shared" si="272"/>
        <v>109928</v>
      </c>
      <c r="AP138" s="244">
        <f>35*AP17</f>
        <v>24080</v>
      </c>
      <c r="AQ138" s="244"/>
      <c r="AR138" s="244"/>
      <c r="AS138" s="244"/>
      <c r="AT138" s="244"/>
      <c r="AU138" s="244"/>
      <c r="AV138" s="257">
        <f t="shared" si="273"/>
        <v>24080</v>
      </c>
      <c r="AX138" s="244">
        <f>26*AX17</f>
        <v>4732</v>
      </c>
      <c r="AY138" s="244"/>
      <c r="AZ138" s="244"/>
      <c r="BA138" s="244"/>
      <c r="BB138" s="244"/>
      <c r="BC138" s="244"/>
      <c r="BD138" s="257">
        <f t="shared" si="274"/>
        <v>4732</v>
      </c>
      <c r="BF138" s="244">
        <f>35*BF17</f>
        <v>0</v>
      </c>
      <c r="BG138" s="244"/>
      <c r="BH138" s="244"/>
      <c r="BI138" s="244"/>
      <c r="BJ138" s="244"/>
      <c r="BK138" s="244"/>
      <c r="BL138" s="257">
        <f t="shared" si="275"/>
        <v>0</v>
      </c>
      <c r="BN138" s="241">
        <f t="shared" si="276"/>
        <v>342824</v>
      </c>
      <c r="BO138" s="241">
        <f t="shared" si="267"/>
        <v>0</v>
      </c>
      <c r="BP138" s="241">
        <f t="shared" si="267"/>
        <v>0</v>
      </c>
      <c r="BQ138" s="241">
        <f t="shared" si="267"/>
        <v>0</v>
      </c>
      <c r="BR138" s="241">
        <f t="shared" si="267"/>
        <v>0</v>
      </c>
      <c r="BS138" s="241">
        <f t="shared" si="267"/>
        <v>0</v>
      </c>
      <c r="BT138" s="257">
        <f t="shared" si="277"/>
        <v>342824</v>
      </c>
    </row>
    <row r="139" spans="1:72" x14ac:dyDescent="0.25">
      <c r="A139" s="211" t="s">
        <v>256</v>
      </c>
      <c r="B139" s="244">
        <v>0</v>
      </c>
      <c r="C139" s="244"/>
      <c r="D139" s="244"/>
      <c r="E139" s="244"/>
      <c r="F139" s="244"/>
      <c r="G139" s="244"/>
      <c r="H139" s="257">
        <f t="shared" si="268"/>
        <v>0</v>
      </c>
      <c r="J139" s="244"/>
      <c r="K139" s="244"/>
      <c r="L139" s="244"/>
      <c r="M139" s="244"/>
      <c r="N139" s="244"/>
      <c r="O139" s="244"/>
      <c r="P139" s="257">
        <f t="shared" si="269"/>
        <v>0</v>
      </c>
      <c r="R139" s="244">
        <v>0</v>
      </c>
      <c r="S139" s="244"/>
      <c r="T139" s="244"/>
      <c r="U139" s="244"/>
      <c r="V139" s="244"/>
      <c r="W139" s="244"/>
      <c r="X139" s="257">
        <f t="shared" si="270"/>
        <v>0</v>
      </c>
      <c r="Z139" s="244">
        <v>0</v>
      </c>
      <c r="AA139" s="244"/>
      <c r="AB139" s="244"/>
      <c r="AC139" s="244"/>
      <c r="AD139" s="244"/>
      <c r="AE139" s="244"/>
      <c r="AF139" s="257">
        <f t="shared" si="271"/>
        <v>0</v>
      </c>
      <c r="AH139" s="244">
        <v>0</v>
      </c>
      <c r="AI139" s="244"/>
      <c r="AJ139" s="244"/>
      <c r="AK139" s="244"/>
      <c r="AL139" s="244"/>
      <c r="AM139" s="244"/>
      <c r="AN139" s="257">
        <f t="shared" si="272"/>
        <v>0</v>
      </c>
      <c r="AP139" s="244">
        <v>0</v>
      </c>
      <c r="AQ139" s="244"/>
      <c r="AR139" s="244"/>
      <c r="AS139" s="244"/>
      <c r="AT139" s="244"/>
      <c r="AU139" s="244"/>
      <c r="AV139" s="257">
        <f t="shared" si="273"/>
        <v>0</v>
      </c>
      <c r="AX139" s="244">
        <v>0</v>
      </c>
      <c r="AY139" s="244"/>
      <c r="AZ139" s="244"/>
      <c r="BA139" s="244"/>
      <c r="BB139" s="244"/>
      <c r="BC139" s="244"/>
      <c r="BD139" s="257">
        <f t="shared" si="274"/>
        <v>0</v>
      </c>
      <c r="BF139" s="244">
        <f>(22*BF17)</f>
        <v>0</v>
      </c>
      <c r="BG139" s="244"/>
      <c r="BH139" s="244"/>
      <c r="BI139" s="244"/>
      <c r="BJ139" s="244"/>
      <c r="BK139" s="244"/>
      <c r="BL139" s="257">
        <f t="shared" si="275"/>
        <v>0</v>
      </c>
      <c r="BN139" s="241">
        <f t="shared" si="276"/>
        <v>0</v>
      </c>
      <c r="BO139" s="241">
        <f t="shared" si="267"/>
        <v>0</v>
      </c>
      <c r="BP139" s="241">
        <f t="shared" si="267"/>
        <v>0</v>
      </c>
      <c r="BQ139" s="241">
        <f t="shared" si="267"/>
        <v>0</v>
      </c>
      <c r="BR139" s="241">
        <f t="shared" si="267"/>
        <v>0</v>
      </c>
      <c r="BS139" s="241">
        <f t="shared" si="267"/>
        <v>0</v>
      </c>
      <c r="BT139" s="257">
        <f t="shared" si="277"/>
        <v>0</v>
      </c>
    </row>
    <row r="140" spans="1:72" x14ac:dyDescent="0.25">
      <c r="A140" s="212" t="s">
        <v>257</v>
      </c>
      <c r="B140" s="245"/>
      <c r="C140" s="245">
        <f>180*C21</f>
        <v>20160</v>
      </c>
      <c r="D140" s="245"/>
      <c r="E140" s="245"/>
      <c r="F140" s="245"/>
      <c r="G140" s="245"/>
      <c r="H140" s="257">
        <f t="shared" si="268"/>
        <v>20160</v>
      </c>
      <c r="J140" s="245"/>
      <c r="K140" s="245">
        <f>180*K21</f>
        <v>51300</v>
      </c>
      <c r="L140" s="245"/>
      <c r="M140" s="245"/>
      <c r="N140" s="245"/>
      <c r="O140" s="245"/>
      <c r="P140" s="257">
        <f t="shared" si="269"/>
        <v>51300</v>
      </c>
      <c r="R140" s="245"/>
      <c r="S140" s="245">
        <f>180*S21</f>
        <v>14400</v>
      </c>
      <c r="T140" s="245"/>
      <c r="U140" s="245"/>
      <c r="V140" s="245"/>
      <c r="W140" s="245"/>
      <c r="X140" s="257">
        <f t="shared" si="270"/>
        <v>14400</v>
      </c>
      <c r="Z140" s="245"/>
      <c r="AA140" s="245">
        <f>180*AA21</f>
        <v>18000</v>
      </c>
      <c r="AB140" s="245"/>
      <c r="AC140" s="245"/>
      <c r="AD140" s="245"/>
      <c r="AE140" s="245"/>
      <c r="AF140" s="257">
        <f t="shared" si="271"/>
        <v>18000</v>
      </c>
      <c r="AH140" s="245"/>
      <c r="AI140" s="245">
        <f>180*AI21</f>
        <v>36900</v>
      </c>
      <c r="AJ140" s="245"/>
      <c r="AK140" s="245"/>
      <c r="AL140" s="245"/>
      <c r="AM140" s="245"/>
      <c r="AN140" s="257">
        <f t="shared" si="272"/>
        <v>36900</v>
      </c>
      <c r="AP140" s="245"/>
      <c r="AQ140" s="245">
        <f>175*AQ21</f>
        <v>6125</v>
      </c>
      <c r="AR140" s="245"/>
      <c r="AS140" s="245"/>
      <c r="AT140" s="245"/>
      <c r="AU140" s="245"/>
      <c r="AV140" s="257">
        <f t="shared" si="273"/>
        <v>6125</v>
      </c>
      <c r="AX140" s="245"/>
      <c r="AY140" s="245">
        <f>180*AY21</f>
        <v>3780</v>
      </c>
      <c r="AZ140" s="245"/>
      <c r="BA140" s="245"/>
      <c r="BB140" s="245"/>
      <c r="BC140" s="245"/>
      <c r="BD140" s="257">
        <f t="shared" si="274"/>
        <v>3780</v>
      </c>
      <c r="BF140" s="245"/>
      <c r="BG140" s="245">
        <f>175*BG21</f>
        <v>0</v>
      </c>
      <c r="BH140" s="245"/>
      <c r="BI140" s="245"/>
      <c r="BJ140" s="245"/>
      <c r="BK140" s="245"/>
      <c r="BL140" s="257">
        <f t="shared" si="275"/>
        <v>0</v>
      </c>
      <c r="BN140" s="241">
        <f t="shared" si="276"/>
        <v>0</v>
      </c>
      <c r="BO140" s="241">
        <f t="shared" si="267"/>
        <v>150665</v>
      </c>
      <c r="BP140" s="241">
        <f t="shared" si="267"/>
        <v>0</v>
      </c>
      <c r="BQ140" s="241">
        <f t="shared" si="267"/>
        <v>0</v>
      </c>
      <c r="BR140" s="241">
        <f t="shared" si="267"/>
        <v>0</v>
      </c>
      <c r="BS140" s="241">
        <f t="shared" si="267"/>
        <v>0</v>
      </c>
      <c r="BT140" s="257">
        <f t="shared" si="277"/>
        <v>150665</v>
      </c>
    </row>
    <row r="141" spans="1:72" x14ac:dyDescent="0.25">
      <c r="A141" s="213"/>
      <c r="B141" s="258">
        <f>SUM(B135:B140)</f>
        <v>251872</v>
      </c>
      <c r="C141" s="258">
        <f t="shared" ref="C141:H141" si="278">SUM(C135:C140)</f>
        <v>20160</v>
      </c>
      <c r="D141" s="258">
        <f t="shared" si="278"/>
        <v>0</v>
      </c>
      <c r="E141" s="258">
        <f t="shared" si="278"/>
        <v>0</v>
      </c>
      <c r="F141" s="258">
        <f t="shared" si="278"/>
        <v>0</v>
      </c>
      <c r="G141" s="258">
        <f t="shared" si="278"/>
        <v>0</v>
      </c>
      <c r="H141" s="258">
        <f t="shared" si="278"/>
        <v>272032</v>
      </c>
      <c r="J141" s="258">
        <f>SUM(J135:J140)</f>
        <v>1205504</v>
      </c>
      <c r="K141" s="258">
        <f>SUM(K134:K140)</f>
        <v>51300</v>
      </c>
      <c r="L141" s="258">
        <f t="shared" ref="L141:P141" si="279">SUM(L135:L140)</f>
        <v>0</v>
      </c>
      <c r="M141" s="258">
        <f t="shared" si="279"/>
        <v>0</v>
      </c>
      <c r="N141" s="258">
        <f t="shared" si="279"/>
        <v>0</v>
      </c>
      <c r="O141" s="258">
        <f t="shared" si="279"/>
        <v>0</v>
      </c>
      <c r="P141" s="258">
        <f t="shared" si="279"/>
        <v>1256804</v>
      </c>
      <c r="R141" s="258">
        <f>SUM(R135:R140)</f>
        <v>278580</v>
      </c>
      <c r="S141" s="258">
        <f t="shared" ref="S141:X141" si="280">SUM(S135:S140)</f>
        <v>14400</v>
      </c>
      <c r="T141" s="258">
        <f t="shared" si="280"/>
        <v>0</v>
      </c>
      <c r="U141" s="258">
        <f t="shared" si="280"/>
        <v>0</v>
      </c>
      <c r="V141" s="258">
        <f t="shared" si="280"/>
        <v>0</v>
      </c>
      <c r="W141" s="258">
        <f t="shared" si="280"/>
        <v>0</v>
      </c>
      <c r="X141" s="258">
        <f t="shared" si="280"/>
        <v>292980</v>
      </c>
      <c r="Z141" s="258">
        <f>SUM(Z135:Z140)</f>
        <v>319128</v>
      </c>
      <c r="AA141" s="258">
        <f t="shared" ref="AA141:AF141" si="281">SUM(AA135:AA140)</f>
        <v>18000</v>
      </c>
      <c r="AB141" s="258">
        <f t="shared" si="281"/>
        <v>0</v>
      </c>
      <c r="AC141" s="258">
        <f t="shared" si="281"/>
        <v>0</v>
      </c>
      <c r="AD141" s="258">
        <f t="shared" si="281"/>
        <v>0</v>
      </c>
      <c r="AE141" s="258">
        <f t="shared" si="281"/>
        <v>0</v>
      </c>
      <c r="AF141" s="258">
        <f t="shared" si="281"/>
        <v>337128</v>
      </c>
      <c r="AH141" s="258">
        <f>SUM(AH135:AH140)</f>
        <v>1273428</v>
      </c>
      <c r="AI141" s="258">
        <f t="shared" ref="AI141:AN141" si="282">SUM(AI135:AI140)</f>
        <v>36900</v>
      </c>
      <c r="AJ141" s="258">
        <f t="shared" si="282"/>
        <v>0</v>
      </c>
      <c r="AK141" s="258">
        <f t="shared" si="282"/>
        <v>0</v>
      </c>
      <c r="AL141" s="258">
        <f t="shared" si="282"/>
        <v>0</v>
      </c>
      <c r="AM141" s="258">
        <f t="shared" si="282"/>
        <v>0</v>
      </c>
      <c r="AN141" s="258">
        <f t="shared" si="282"/>
        <v>1310328</v>
      </c>
      <c r="AP141" s="258">
        <f>SUM(AP135:AP140)</f>
        <v>121830</v>
      </c>
      <c r="AQ141" s="258">
        <f t="shared" ref="AQ141:AV141" si="283">SUM(AQ135:AQ140)</f>
        <v>6125</v>
      </c>
      <c r="AR141" s="258">
        <f t="shared" si="283"/>
        <v>0</v>
      </c>
      <c r="AS141" s="258">
        <f t="shared" si="283"/>
        <v>0</v>
      </c>
      <c r="AT141" s="258">
        <f t="shared" si="283"/>
        <v>0</v>
      </c>
      <c r="AU141" s="258">
        <f t="shared" si="283"/>
        <v>0</v>
      </c>
      <c r="AV141" s="258">
        <f t="shared" si="283"/>
        <v>127955</v>
      </c>
      <c r="AX141" s="258">
        <f>SUM(AX135:AX140)</f>
        <v>104232</v>
      </c>
      <c r="AY141" s="258">
        <f t="shared" ref="AY141:BD141" si="284">SUM(AY135:AY140)</f>
        <v>3780</v>
      </c>
      <c r="AZ141" s="258">
        <f t="shared" si="284"/>
        <v>0</v>
      </c>
      <c r="BA141" s="258">
        <f t="shared" si="284"/>
        <v>0</v>
      </c>
      <c r="BB141" s="258">
        <f t="shared" si="284"/>
        <v>0</v>
      </c>
      <c r="BC141" s="258">
        <f t="shared" si="284"/>
        <v>0</v>
      </c>
      <c r="BD141" s="258">
        <f t="shared" si="284"/>
        <v>108012</v>
      </c>
      <c r="BF141" s="258">
        <f>SUM(BF135:BF140)</f>
        <v>0</v>
      </c>
      <c r="BG141" s="258">
        <f t="shared" ref="BG141:BL141" si="285">SUM(BG135:BG140)</f>
        <v>0</v>
      </c>
      <c r="BH141" s="258">
        <f t="shared" si="285"/>
        <v>0</v>
      </c>
      <c r="BI141" s="258">
        <f t="shared" si="285"/>
        <v>0</v>
      </c>
      <c r="BJ141" s="258">
        <f t="shared" si="285"/>
        <v>290000</v>
      </c>
      <c r="BK141" s="258">
        <f t="shared" si="285"/>
        <v>0</v>
      </c>
      <c r="BL141" s="258">
        <f t="shared" si="285"/>
        <v>290000</v>
      </c>
      <c r="BN141" s="258">
        <f>SUM(BN135:BN140)</f>
        <v>3554574</v>
      </c>
      <c r="BO141" s="258">
        <f t="shared" ref="BO141:BT141" si="286">SUM(BO135:BO140)</f>
        <v>150665</v>
      </c>
      <c r="BP141" s="258">
        <f t="shared" si="286"/>
        <v>0</v>
      </c>
      <c r="BQ141" s="258">
        <f t="shared" si="286"/>
        <v>0</v>
      </c>
      <c r="BR141" s="258">
        <f t="shared" si="286"/>
        <v>290000</v>
      </c>
      <c r="BS141" s="258">
        <f t="shared" si="286"/>
        <v>0</v>
      </c>
      <c r="BT141" s="258">
        <f t="shared" si="286"/>
        <v>3995239</v>
      </c>
    </row>
    <row r="142" spans="1:72" x14ac:dyDescent="0.25">
      <c r="B142" s="259"/>
      <c r="C142" s="259"/>
      <c r="D142" s="259"/>
      <c r="E142" s="259"/>
      <c r="F142" s="259"/>
      <c r="G142" s="259"/>
      <c r="H142" s="259"/>
      <c r="J142" s="259"/>
      <c r="K142" s="259"/>
      <c r="L142" s="259"/>
      <c r="M142" s="259"/>
      <c r="N142" s="259"/>
      <c r="O142" s="259"/>
      <c r="P142" s="259"/>
      <c r="R142" s="259"/>
      <c r="S142" s="259"/>
      <c r="T142" s="259"/>
      <c r="U142" s="259"/>
      <c r="V142" s="259"/>
      <c r="W142" s="259"/>
      <c r="X142" s="259"/>
      <c r="Z142" s="259"/>
      <c r="AA142" s="259"/>
      <c r="AB142" s="259"/>
      <c r="AC142" s="259"/>
      <c r="AD142" s="259"/>
      <c r="AE142" s="259"/>
      <c r="AF142" s="259"/>
      <c r="AH142" s="259"/>
      <c r="AI142" s="259"/>
      <c r="AJ142" s="259"/>
      <c r="AK142" s="259"/>
      <c r="AL142" s="259"/>
      <c r="AM142" s="259"/>
      <c r="AN142" s="259"/>
      <c r="AP142" s="259"/>
      <c r="AQ142" s="259"/>
      <c r="AR142" s="259"/>
      <c r="AS142" s="259"/>
      <c r="AT142" s="259"/>
      <c r="AU142" s="259"/>
      <c r="AV142" s="259"/>
      <c r="AX142" s="259"/>
      <c r="AY142" s="259"/>
      <c r="AZ142" s="259"/>
      <c r="BA142" s="259"/>
      <c r="BB142" s="259"/>
      <c r="BC142" s="259"/>
      <c r="BD142" s="259"/>
      <c r="BF142" s="259"/>
      <c r="BG142" s="259"/>
      <c r="BH142" s="259"/>
      <c r="BI142" s="259"/>
      <c r="BJ142" s="259"/>
      <c r="BK142" s="259"/>
      <c r="BL142" s="259"/>
      <c r="BN142" s="259"/>
      <c r="BO142" s="259"/>
      <c r="BP142" s="259"/>
      <c r="BQ142" s="259"/>
      <c r="BR142" s="259"/>
      <c r="BS142" s="259"/>
      <c r="BT142" s="259"/>
    </row>
    <row r="143" spans="1:72" x14ac:dyDescent="0.25">
      <c r="A143" s="208" t="s">
        <v>333</v>
      </c>
      <c r="B143" s="260" t="s">
        <v>309</v>
      </c>
      <c r="C143" s="260" t="s">
        <v>310</v>
      </c>
      <c r="D143" s="260" t="s">
        <v>311</v>
      </c>
      <c r="E143" s="260" t="str">
        <f>E134</f>
        <v>Other</v>
      </c>
      <c r="F143" s="260" t="s">
        <v>315</v>
      </c>
      <c r="G143" s="260" t="s">
        <v>314</v>
      </c>
      <c r="H143" s="260" t="str">
        <f>H134</f>
        <v>Horizon</v>
      </c>
      <c r="J143" s="260" t="s">
        <v>309</v>
      </c>
      <c r="K143" s="260" t="s">
        <v>310</v>
      </c>
      <c r="L143" s="260" t="s">
        <v>311</v>
      </c>
      <c r="M143" s="260" t="str">
        <f>M134</f>
        <v>Other</v>
      </c>
      <c r="N143" s="260" t="s">
        <v>315</v>
      </c>
      <c r="O143" s="260" t="s">
        <v>314</v>
      </c>
      <c r="P143" s="260" t="str">
        <f>P118</f>
        <v>Cadence</v>
      </c>
      <c r="R143" s="260" t="s">
        <v>309</v>
      </c>
      <c r="S143" s="260" t="s">
        <v>310</v>
      </c>
      <c r="T143" s="260" t="s">
        <v>311</v>
      </c>
      <c r="U143" s="260" t="str">
        <f>U134</f>
        <v>Other</v>
      </c>
      <c r="V143" s="260" t="s">
        <v>315</v>
      </c>
      <c r="W143" s="260" t="s">
        <v>314</v>
      </c>
      <c r="X143" s="260" t="str">
        <f>X134</f>
        <v>St. Rose</v>
      </c>
      <c r="Z143" s="260" t="s">
        <v>309</v>
      </c>
      <c r="AA143" s="260" t="s">
        <v>310</v>
      </c>
      <c r="AB143" s="260" t="s">
        <v>311</v>
      </c>
      <c r="AC143" s="260" t="str">
        <f>AC134</f>
        <v>Other</v>
      </c>
      <c r="AD143" s="260" t="s">
        <v>315</v>
      </c>
      <c r="AE143" s="260" t="s">
        <v>314</v>
      </c>
      <c r="AF143" s="260" t="str">
        <f>AF134</f>
        <v>Inspirada</v>
      </c>
      <c r="AH143" s="260" t="s">
        <v>309</v>
      </c>
      <c r="AI143" s="260" t="s">
        <v>310</v>
      </c>
      <c r="AJ143" s="260" t="s">
        <v>311</v>
      </c>
      <c r="AK143" s="260" t="str">
        <f>AK134</f>
        <v>Other</v>
      </c>
      <c r="AL143" s="260" t="s">
        <v>315</v>
      </c>
      <c r="AM143" s="260" t="s">
        <v>314</v>
      </c>
      <c r="AN143" s="260" t="str">
        <f>AN134</f>
        <v>Sloan</v>
      </c>
      <c r="AP143" s="260" t="s">
        <v>309</v>
      </c>
      <c r="AQ143" s="260" t="s">
        <v>310</v>
      </c>
      <c r="AR143" s="260" t="s">
        <v>311</v>
      </c>
      <c r="AS143" s="260" t="str">
        <f>AS134</f>
        <v>Other</v>
      </c>
      <c r="AT143" s="260" t="s">
        <v>315</v>
      </c>
      <c r="AU143" s="260" t="s">
        <v>314</v>
      </c>
      <c r="AV143" s="260" t="str">
        <f>AV134</f>
        <v>Springs</v>
      </c>
      <c r="AX143" s="260" t="s">
        <v>309</v>
      </c>
      <c r="AY143" s="260" t="s">
        <v>310</v>
      </c>
      <c r="AZ143" s="260" t="s">
        <v>311</v>
      </c>
      <c r="BA143" s="260" t="str">
        <f>BA134</f>
        <v>Other</v>
      </c>
      <c r="BB143" s="260" t="s">
        <v>315</v>
      </c>
      <c r="BC143" s="260" t="s">
        <v>314</v>
      </c>
      <c r="BD143" s="260" t="str">
        <f>BD134</f>
        <v>Virtual</v>
      </c>
      <c r="BF143" s="260" t="s">
        <v>309</v>
      </c>
      <c r="BG143" s="260" t="s">
        <v>310</v>
      </c>
      <c r="BH143" s="260" t="s">
        <v>311</v>
      </c>
      <c r="BI143" s="260" t="str">
        <f>BI134</f>
        <v>Other</v>
      </c>
      <c r="BJ143" s="260" t="s">
        <v>315</v>
      </c>
      <c r="BK143" s="260" t="s">
        <v>314</v>
      </c>
      <c r="BL143" s="260" t="str">
        <f>BL134</f>
        <v>Central</v>
      </c>
      <c r="BN143" s="260" t="s">
        <v>309</v>
      </c>
      <c r="BO143" s="260" t="s">
        <v>310</v>
      </c>
      <c r="BP143" s="260" t="s">
        <v>311</v>
      </c>
      <c r="BQ143" s="260" t="str">
        <f>BQ134</f>
        <v>Other</v>
      </c>
      <c r="BR143" s="260" t="s">
        <v>315</v>
      </c>
      <c r="BS143" s="260" t="s">
        <v>314</v>
      </c>
      <c r="BT143" s="260" t="str">
        <f>BT134</f>
        <v>System</v>
      </c>
    </row>
    <row r="144" spans="1:72" x14ac:dyDescent="0.25">
      <c r="A144" s="214" t="s">
        <v>258</v>
      </c>
      <c r="B144" s="257">
        <f>31*B17</f>
        <v>28737</v>
      </c>
      <c r="C144" s="257"/>
      <c r="D144" s="257"/>
      <c r="E144" s="257"/>
      <c r="F144" s="257"/>
      <c r="G144" s="257"/>
      <c r="H144" s="241">
        <f>SUM(B144:G144)</f>
        <v>28737</v>
      </c>
      <c r="J144" s="257">
        <f>31*J17</f>
        <v>77934</v>
      </c>
      <c r="K144" s="257"/>
      <c r="L144" s="257"/>
      <c r="M144" s="257"/>
      <c r="N144" s="257"/>
      <c r="O144" s="257"/>
      <c r="P144" s="241">
        <f>SUM(J144:O144)</f>
        <v>77934</v>
      </c>
      <c r="R144" s="257">
        <f>31*R17</f>
        <v>31930</v>
      </c>
      <c r="S144" s="257"/>
      <c r="T144" s="257"/>
      <c r="U144" s="257"/>
      <c r="V144" s="257"/>
      <c r="W144" s="257"/>
      <c r="X144" s="241">
        <f>SUM(R144:W144)</f>
        <v>31930</v>
      </c>
      <c r="Z144" s="257">
        <f>31*Z17</f>
        <v>37138</v>
      </c>
      <c r="AA144" s="257"/>
      <c r="AB144" s="257"/>
      <c r="AC144" s="257"/>
      <c r="AD144" s="257"/>
      <c r="AE144" s="257"/>
      <c r="AF144" s="241">
        <f>SUM(Z144:AE144)</f>
        <v>37138</v>
      </c>
      <c r="AH144" s="257">
        <f>31*AH17</f>
        <v>77438</v>
      </c>
      <c r="AI144" s="257"/>
      <c r="AJ144" s="257"/>
      <c r="AK144" s="257"/>
      <c r="AL144" s="257"/>
      <c r="AM144" s="257"/>
      <c r="AN144" s="241">
        <f>SUM(AH144:AM144)</f>
        <v>77438</v>
      </c>
      <c r="AP144" s="257">
        <f>30*AP17</f>
        <v>20640</v>
      </c>
      <c r="AQ144" s="257"/>
      <c r="AR144" s="257"/>
      <c r="AS144" s="257"/>
      <c r="AT144" s="257"/>
      <c r="AU144" s="257"/>
      <c r="AV144" s="241">
        <f>SUM(AP144:AU144)</f>
        <v>20640</v>
      </c>
      <c r="AX144" s="257">
        <f>21*AX17</f>
        <v>3822</v>
      </c>
      <c r="AY144" s="257"/>
      <c r="AZ144" s="257"/>
      <c r="BA144" s="257"/>
      <c r="BB144" s="257"/>
      <c r="BC144" s="257"/>
      <c r="BD144" s="241">
        <f>SUM(AX144:BC144)</f>
        <v>3822</v>
      </c>
      <c r="BF144" s="257"/>
      <c r="BG144" s="257"/>
      <c r="BH144" s="257"/>
      <c r="BI144" s="257"/>
      <c r="BJ144" s="257"/>
      <c r="BK144" s="257"/>
      <c r="BL144" s="241">
        <f>SUM(BF144:BK144)</f>
        <v>0</v>
      </c>
      <c r="BN144" s="241">
        <f>B144+J144+R144+Z144+AH144+AP144+AX144+BF144</f>
        <v>277639</v>
      </c>
      <c r="BO144" s="241">
        <f t="shared" ref="BO144:BS148" si="287">C144+K144+S144+AA144+AI144+AQ144+AY144+BG144</f>
        <v>0</v>
      </c>
      <c r="BP144" s="241">
        <f t="shared" si="287"/>
        <v>0</v>
      </c>
      <c r="BQ144" s="241">
        <f t="shared" si="287"/>
        <v>0</v>
      </c>
      <c r="BR144" s="241">
        <f t="shared" si="287"/>
        <v>0</v>
      </c>
      <c r="BS144" s="241">
        <f t="shared" si="287"/>
        <v>0</v>
      </c>
      <c r="BT144" s="241">
        <f>SUM(BN144:BS144)</f>
        <v>277639</v>
      </c>
    </row>
    <row r="145" spans="1:72" x14ac:dyDescent="0.25">
      <c r="A145" s="211" t="s">
        <v>256</v>
      </c>
      <c r="B145" s="244">
        <f>(26*B17)</f>
        <v>24102</v>
      </c>
      <c r="C145" s="244"/>
      <c r="D145" s="244"/>
      <c r="E145" s="244"/>
      <c r="F145" s="244"/>
      <c r="G145" s="244"/>
      <c r="H145" s="241">
        <f t="shared" ref="H145:H148" si="288">SUM(B145:G145)</f>
        <v>24102</v>
      </c>
      <c r="J145" s="244">
        <f>(26*J17)</f>
        <v>65364</v>
      </c>
      <c r="K145" s="244"/>
      <c r="L145" s="244"/>
      <c r="M145" s="244"/>
      <c r="N145" s="244"/>
      <c r="O145" s="244"/>
      <c r="P145" s="241">
        <f t="shared" ref="P145:P148" si="289">SUM(J145:O145)</f>
        <v>65364</v>
      </c>
      <c r="R145" s="244">
        <f>(26*R17)</f>
        <v>26780</v>
      </c>
      <c r="S145" s="244"/>
      <c r="T145" s="244"/>
      <c r="U145" s="244"/>
      <c r="V145" s="244"/>
      <c r="W145" s="244"/>
      <c r="X145" s="241">
        <f t="shared" ref="X145:X148" si="290">SUM(R145:W145)</f>
        <v>26780</v>
      </c>
      <c r="Z145" s="244">
        <f>(26*Z17)</f>
        <v>31148</v>
      </c>
      <c r="AA145" s="244"/>
      <c r="AB145" s="244"/>
      <c r="AC145" s="244"/>
      <c r="AD145" s="244"/>
      <c r="AE145" s="244"/>
      <c r="AF145" s="241">
        <f t="shared" ref="AF145:AF148" si="291">SUM(Z145:AE145)</f>
        <v>31148</v>
      </c>
      <c r="AH145" s="244">
        <f>(26*AH17)</f>
        <v>64948</v>
      </c>
      <c r="AI145" s="244"/>
      <c r="AJ145" s="244"/>
      <c r="AK145" s="244"/>
      <c r="AL145" s="244"/>
      <c r="AM145" s="244"/>
      <c r="AN145" s="241">
        <f t="shared" ref="AN145:AN148" si="292">SUM(AH145:AM145)</f>
        <v>64948</v>
      </c>
      <c r="AP145" s="244">
        <f>(25*AP17)</f>
        <v>17200</v>
      </c>
      <c r="AQ145" s="244"/>
      <c r="AR145" s="244"/>
      <c r="AS145" s="244"/>
      <c r="AT145" s="244"/>
      <c r="AU145" s="244"/>
      <c r="AV145" s="241">
        <f t="shared" ref="AV145:AV148" si="293">SUM(AP145:AU145)</f>
        <v>17200</v>
      </c>
      <c r="AX145" s="244">
        <f>(26*AX17)</f>
        <v>4732</v>
      </c>
      <c r="AY145" s="244"/>
      <c r="AZ145" s="244"/>
      <c r="BA145" s="244"/>
      <c r="BB145" s="244"/>
      <c r="BC145" s="244"/>
      <c r="BD145" s="241">
        <f t="shared" ref="BD145:BD148" si="294">SUM(AX145:BC145)</f>
        <v>4732</v>
      </c>
      <c r="BF145" s="244">
        <f>(3*BF17)</f>
        <v>0</v>
      </c>
      <c r="BG145" s="244"/>
      <c r="BH145" s="244"/>
      <c r="BI145" s="244"/>
      <c r="BJ145" s="244"/>
      <c r="BK145" s="244"/>
      <c r="BL145" s="241">
        <f t="shared" ref="BL145:BL148" si="295">SUM(BF145:BK145)</f>
        <v>0</v>
      </c>
      <c r="BN145" s="241">
        <f t="shared" ref="BN145:BN148" si="296">B145+J145+R145+Z145+AH145+AP145+AX145+BF145</f>
        <v>234274</v>
      </c>
      <c r="BO145" s="241">
        <f t="shared" si="287"/>
        <v>0</v>
      </c>
      <c r="BP145" s="241">
        <f t="shared" si="287"/>
        <v>0</v>
      </c>
      <c r="BQ145" s="241">
        <f t="shared" si="287"/>
        <v>0</v>
      </c>
      <c r="BR145" s="241">
        <f t="shared" si="287"/>
        <v>0</v>
      </c>
      <c r="BS145" s="241">
        <f t="shared" si="287"/>
        <v>0</v>
      </c>
      <c r="BT145" s="241">
        <f t="shared" ref="BT145:BT148" si="297">SUM(BN145:BS145)</f>
        <v>234274</v>
      </c>
    </row>
    <row r="146" spans="1:72" x14ac:dyDescent="0.25">
      <c r="A146" s="211" t="s">
        <v>259</v>
      </c>
      <c r="B146" s="244">
        <f>8.25*B17</f>
        <v>7647.75</v>
      </c>
      <c r="C146" s="244"/>
      <c r="D146" s="244"/>
      <c r="E146" s="244"/>
      <c r="F146" s="244"/>
      <c r="G146" s="244"/>
      <c r="H146" s="241">
        <f t="shared" si="288"/>
        <v>7647.75</v>
      </c>
      <c r="J146" s="244">
        <f>8.25*J17</f>
        <v>20740.5</v>
      </c>
      <c r="K146" s="244"/>
      <c r="L146" s="244"/>
      <c r="M146" s="244"/>
      <c r="N146" s="244"/>
      <c r="O146" s="244"/>
      <c r="P146" s="241">
        <f t="shared" si="289"/>
        <v>20740.5</v>
      </c>
      <c r="R146" s="244">
        <f>8.25*R17</f>
        <v>8497.5</v>
      </c>
      <c r="S146" s="244"/>
      <c r="T146" s="244"/>
      <c r="U146" s="244"/>
      <c r="V146" s="244"/>
      <c r="W146" s="244"/>
      <c r="X146" s="241">
        <f t="shared" si="290"/>
        <v>8497.5</v>
      </c>
      <c r="Z146" s="244">
        <f>8.25*Z17</f>
        <v>9883.5</v>
      </c>
      <c r="AA146" s="244"/>
      <c r="AB146" s="244"/>
      <c r="AC146" s="244"/>
      <c r="AD146" s="244"/>
      <c r="AE146" s="244"/>
      <c r="AF146" s="241">
        <f t="shared" si="291"/>
        <v>9883.5</v>
      </c>
      <c r="AH146" s="244">
        <f>8.25*AH17</f>
        <v>20608.5</v>
      </c>
      <c r="AI146" s="244"/>
      <c r="AJ146" s="244"/>
      <c r="AK146" s="244"/>
      <c r="AL146" s="244"/>
      <c r="AM146" s="244"/>
      <c r="AN146" s="241">
        <f t="shared" si="292"/>
        <v>20608.5</v>
      </c>
      <c r="AP146" s="244">
        <f>8*AP17</f>
        <v>5504</v>
      </c>
      <c r="AQ146" s="244"/>
      <c r="AR146" s="244"/>
      <c r="AS146" s="244"/>
      <c r="AT146" s="244"/>
      <c r="AU146" s="244"/>
      <c r="AV146" s="241">
        <f t="shared" si="293"/>
        <v>5504</v>
      </c>
      <c r="AX146" s="244">
        <v>0</v>
      </c>
      <c r="AY146" s="244"/>
      <c r="AZ146" s="244"/>
      <c r="BA146" s="244"/>
      <c r="BB146" s="244"/>
      <c r="BC146" s="244"/>
      <c r="BD146" s="241">
        <f t="shared" si="294"/>
        <v>0</v>
      </c>
      <c r="BF146" s="244">
        <f>8*BF17</f>
        <v>0</v>
      </c>
      <c r="BG146" s="244"/>
      <c r="BH146" s="244"/>
      <c r="BI146" s="244"/>
      <c r="BJ146" s="244"/>
      <c r="BK146" s="244"/>
      <c r="BL146" s="241">
        <f t="shared" si="295"/>
        <v>0</v>
      </c>
      <c r="BN146" s="241">
        <f t="shared" si="296"/>
        <v>72881.75</v>
      </c>
      <c r="BO146" s="241">
        <f t="shared" si="287"/>
        <v>0</v>
      </c>
      <c r="BP146" s="241">
        <f t="shared" si="287"/>
        <v>0</v>
      </c>
      <c r="BQ146" s="241">
        <f t="shared" si="287"/>
        <v>0</v>
      </c>
      <c r="BR146" s="241">
        <f t="shared" si="287"/>
        <v>0</v>
      </c>
      <c r="BS146" s="241">
        <f t="shared" si="287"/>
        <v>0</v>
      </c>
      <c r="BT146" s="241">
        <f t="shared" si="297"/>
        <v>72881.75</v>
      </c>
    </row>
    <row r="147" spans="1:72" x14ac:dyDescent="0.25">
      <c r="A147" s="211" t="s">
        <v>260</v>
      </c>
      <c r="B147" s="244"/>
      <c r="C147" s="244"/>
      <c r="D147" s="244"/>
      <c r="E147" s="244"/>
      <c r="F147" s="244"/>
      <c r="G147" s="244"/>
      <c r="H147" s="241">
        <f t="shared" si="288"/>
        <v>0</v>
      </c>
      <c r="J147" s="244">
        <v>135000</v>
      </c>
      <c r="K147" s="244"/>
      <c r="L147" s="244"/>
      <c r="M147" s="244"/>
      <c r="N147" s="244"/>
      <c r="O147" s="244"/>
      <c r="P147" s="241">
        <f t="shared" si="289"/>
        <v>135000</v>
      </c>
      <c r="R147" s="244"/>
      <c r="S147" s="244"/>
      <c r="T147" s="244"/>
      <c r="U147" s="244"/>
      <c r="V147" s="244"/>
      <c r="W147" s="244"/>
      <c r="X147" s="241">
        <f t="shared" si="290"/>
        <v>0</v>
      </c>
      <c r="Z147" s="244"/>
      <c r="AA147" s="244"/>
      <c r="AB147" s="244"/>
      <c r="AC147" s="244"/>
      <c r="AD147" s="244"/>
      <c r="AE147" s="244"/>
      <c r="AF147" s="241">
        <f t="shared" si="291"/>
        <v>0</v>
      </c>
      <c r="AH147" s="244">
        <v>155000</v>
      </c>
      <c r="AI147" s="244"/>
      <c r="AJ147" s="244"/>
      <c r="AK147" s="244"/>
      <c r="AL147" s="244"/>
      <c r="AM147" s="244"/>
      <c r="AN147" s="241">
        <f t="shared" si="292"/>
        <v>155000</v>
      </c>
      <c r="AP147" s="244"/>
      <c r="AQ147" s="244"/>
      <c r="AR147" s="244"/>
      <c r="AS147" s="244"/>
      <c r="AT147" s="244"/>
      <c r="AU147" s="244"/>
      <c r="AV147" s="241">
        <f t="shared" si="293"/>
        <v>0</v>
      </c>
      <c r="AX147" s="242"/>
      <c r="AY147" s="244"/>
      <c r="AZ147" s="244"/>
      <c r="BA147" s="244"/>
      <c r="BB147" s="244"/>
      <c r="BC147" s="244"/>
      <c r="BD147" s="241">
        <f t="shared" si="294"/>
        <v>0</v>
      </c>
      <c r="BF147" s="244"/>
      <c r="BG147" s="244"/>
      <c r="BH147" s="244"/>
      <c r="BI147" s="244"/>
      <c r="BJ147" s="244"/>
      <c r="BK147" s="244"/>
      <c r="BL147" s="241">
        <f t="shared" si="295"/>
        <v>0</v>
      </c>
      <c r="BN147" s="241">
        <f t="shared" si="296"/>
        <v>290000</v>
      </c>
      <c r="BO147" s="241">
        <f t="shared" si="287"/>
        <v>0</v>
      </c>
      <c r="BP147" s="241">
        <f t="shared" si="287"/>
        <v>0</v>
      </c>
      <c r="BQ147" s="241">
        <f t="shared" si="287"/>
        <v>0</v>
      </c>
      <c r="BR147" s="241">
        <f t="shared" si="287"/>
        <v>0</v>
      </c>
      <c r="BS147" s="241">
        <f t="shared" si="287"/>
        <v>0</v>
      </c>
      <c r="BT147" s="241">
        <f t="shared" si="297"/>
        <v>290000</v>
      </c>
    </row>
    <row r="148" spans="1:72" x14ac:dyDescent="0.25">
      <c r="A148" s="212" t="s">
        <v>261</v>
      </c>
      <c r="B148" s="245">
        <f>56*B17</f>
        <v>51912</v>
      </c>
      <c r="C148" s="245"/>
      <c r="D148" s="245"/>
      <c r="E148" s="245"/>
      <c r="F148" s="245"/>
      <c r="G148" s="245"/>
      <c r="H148" s="241">
        <f t="shared" si="288"/>
        <v>51912</v>
      </c>
      <c r="J148" s="245">
        <f>53*J17</f>
        <v>133242</v>
      </c>
      <c r="K148" s="245"/>
      <c r="L148" s="245"/>
      <c r="M148" s="245"/>
      <c r="N148" s="245"/>
      <c r="O148" s="245"/>
      <c r="P148" s="241">
        <f t="shared" si="289"/>
        <v>133242</v>
      </c>
      <c r="R148" s="245">
        <f>41*R17</f>
        <v>42230</v>
      </c>
      <c r="S148" s="245"/>
      <c r="T148" s="245"/>
      <c r="U148" s="245"/>
      <c r="V148" s="245"/>
      <c r="W148" s="245"/>
      <c r="X148" s="241">
        <f t="shared" si="290"/>
        <v>42230</v>
      </c>
      <c r="Z148" s="245">
        <f>41*Z17</f>
        <v>49118</v>
      </c>
      <c r="AA148" s="245"/>
      <c r="AB148" s="245"/>
      <c r="AC148" s="245"/>
      <c r="AD148" s="245"/>
      <c r="AE148" s="245"/>
      <c r="AF148" s="241">
        <f t="shared" si="291"/>
        <v>49118</v>
      </c>
      <c r="AH148" s="245">
        <f>71*AH17</f>
        <v>177358</v>
      </c>
      <c r="AI148" s="245"/>
      <c r="AJ148" s="245"/>
      <c r="AK148" s="245"/>
      <c r="AL148" s="245"/>
      <c r="AM148" s="245"/>
      <c r="AN148" s="241">
        <f t="shared" si="292"/>
        <v>177358</v>
      </c>
      <c r="AP148" s="245">
        <f>52*AP17</f>
        <v>35776</v>
      </c>
      <c r="AQ148" s="245"/>
      <c r="AR148" s="245"/>
      <c r="AS148" s="245"/>
      <c r="AT148" s="245"/>
      <c r="AU148" s="245"/>
      <c r="AV148" s="241">
        <f t="shared" si="293"/>
        <v>35776</v>
      </c>
      <c r="AX148" s="245">
        <v>0</v>
      </c>
      <c r="AY148" s="245"/>
      <c r="AZ148" s="245"/>
      <c r="BA148" s="245"/>
      <c r="BB148" s="245"/>
      <c r="BC148" s="245"/>
      <c r="BD148" s="241">
        <f t="shared" si="294"/>
        <v>0</v>
      </c>
      <c r="BF148" s="245">
        <f>50*BF17</f>
        <v>0</v>
      </c>
      <c r="BG148" s="245"/>
      <c r="BH148" s="245"/>
      <c r="BI148" s="245"/>
      <c r="BJ148" s="245"/>
      <c r="BK148" s="245"/>
      <c r="BL148" s="241">
        <f t="shared" si="295"/>
        <v>0</v>
      </c>
      <c r="BN148" s="241">
        <f t="shared" si="296"/>
        <v>489636</v>
      </c>
      <c r="BO148" s="241">
        <f t="shared" si="287"/>
        <v>0</v>
      </c>
      <c r="BP148" s="241">
        <f t="shared" si="287"/>
        <v>0</v>
      </c>
      <c r="BQ148" s="241">
        <f t="shared" si="287"/>
        <v>0</v>
      </c>
      <c r="BR148" s="241">
        <f t="shared" si="287"/>
        <v>0</v>
      </c>
      <c r="BS148" s="241">
        <f t="shared" si="287"/>
        <v>0</v>
      </c>
      <c r="BT148" s="241">
        <f t="shared" si="297"/>
        <v>489636</v>
      </c>
    </row>
    <row r="149" spans="1:72" x14ac:dyDescent="0.25">
      <c r="A149" s="213"/>
      <c r="B149" s="258">
        <f>SUM(B144:B148)</f>
        <v>112398.75</v>
      </c>
      <c r="C149" s="258">
        <f t="shared" ref="C149:H149" si="298">SUM(C144:C148)</f>
        <v>0</v>
      </c>
      <c r="D149" s="258">
        <f t="shared" si="298"/>
        <v>0</v>
      </c>
      <c r="E149" s="258">
        <f t="shared" si="298"/>
        <v>0</v>
      </c>
      <c r="F149" s="258">
        <f t="shared" si="298"/>
        <v>0</v>
      </c>
      <c r="G149" s="258">
        <f t="shared" si="298"/>
        <v>0</v>
      </c>
      <c r="H149" s="258">
        <f t="shared" si="298"/>
        <v>112398.75</v>
      </c>
      <c r="J149" s="258">
        <f>SUM(J144:J148)</f>
        <v>432280.5</v>
      </c>
      <c r="K149" s="258">
        <f t="shared" ref="K149:P149" si="299">SUM(K144:K148)</f>
        <v>0</v>
      </c>
      <c r="L149" s="258">
        <f t="shared" si="299"/>
        <v>0</v>
      </c>
      <c r="M149" s="258">
        <f t="shared" si="299"/>
        <v>0</v>
      </c>
      <c r="N149" s="258">
        <f t="shared" si="299"/>
        <v>0</v>
      </c>
      <c r="O149" s="258">
        <f t="shared" si="299"/>
        <v>0</v>
      </c>
      <c r="P149" s="258">
        <f t="shared" si="299"/>
        <v>432280.5</v>
      </c>
      <c r="R149" s="258">
        <f>SUM(R144:R148)</f>
        <v>109437.5</v>
      </c>
      <c r="S149" s="258">
        <f t="shared" ref="S149:X149" si="300">SUM(S144:S148)</f>
        <v>0</v>
      </c>
      <c r="T149" s="258">
        <f t="shared" si="300"/>
        <v>0</v>
      </c>
      <c r="U149" s="258">
        <f t="shared" si="300"/>
        <v>0</v>
      </c>
      <c r="V149" s="258">
        <f t="shared" si="300"/>
        <v>0</v>
      </c>
      <c r="W149" s="258">
        <f t="shared" si="300"/>
        <v>0</v>
      </c>
      <c r="X149" s="258">
        <f t="shared" si="300"/>
        <v>109437.5</v>
      </c>
      <c r="Z149" s="258">
        <f>SUM(Z144:Z148)</f>
        <v>127287.5</v>
      </c>
      <c r="AA149" s="258">
        <f t="shared" ref="AA149:AF149" si="301">SUM(AA144:AA148)</f>
        <v>0</v>
      </c>
      <c r="AB149" s="258">
        <f t="shared" si="301"/>
        <v>0</v>
      </c>
      <c r="AC149" s="258">
        <f t="shared" si="301"/>
        <v>0</v>
      </c>
      <c r="AD149" s="258">
        <f t="shared" si="301"/>
        <v>0</v>
      </c>
      <c r="AE149" s="258">
        <f t="shared" si="301"/>
        <v>0</v>
      </c>
      <c r="AF149" s="258">
        <f t="shared" si="301"/>
        <v>127287.5</v>
      </c>
      <c r="AH149" s="258">
        <f>SUM(AH144:AH148)</f>
        <v>495352.5</v>
      </c>
      <c r="AI149" s="258">
        <f t="shared" ref="AI149:AN149" si="302">SUM(AI144:AI148)</f>
        <v>0</v>
      </c>
      <c r="AJ149" s="258">
        <f t="shared" si="302"/>
        <v>0</v>
      </c>
      <c r="AK149" s="258">
        <f t="shared" si="302"/>
        <v>0</v>
      </c>
      <c r="AL149" s="258">
        <f t="shared" si="302"/>
        <v>0</v>
      </c>
      <c r="AM149" s="258">
        <f t="shared" si="302"/>
        <v>0</v>
      </c>
      <c r="AN149" s="258">
        <f t="shared" si="302"/>
        <v>495352.5</v>
      </c>
      <c r="AP149" s="258">
        <f>SUM(AP144:AP148)</f>
        <v>79120</v>
      </c>
      <c r="AQ149" s="258">
        <f t="shared" ref="AQ149:AV149" si="303">SUM(AQ144:AQ148)</f>
        <v>0</v>
      </c>
      <c r="AR149" s="258">
        <f t="shared" si="303"/>
        <v>0</v>
      </c>
      <c r="AS149" s="258">
        <f t="shared" si="303"/>
        <v>0</v>
      </c>
      <c r="AT149" s="258">
        <f t="shared" si="303"/>
        <v>0</v>
      </c>
      <c r="AU149" s="258">
        <f t="shared" si="303"/>
        <v>0</v>
      </c>
      <c r="AV149" s="258">
        <f t="shared" si="303"/>
        <v>79120</v>
      </c>
      <c r="AX149" s="258">
        <f>SUM(AX144:AX148)</f>
        <v>8554</v>
      </c>
      <c r="AY149" s="258">
        <f t="shared" ref="AY149:BD149" si="304">SUM(AY144:AY148)</f>
        <v>0</v>
      </c>
      <c r="AZ149" s="258">
        <f t="shared" si="304"/>
        <v>0</v>
      </c>
      <c r="BA149" s="258">
        <f t="shared" si="304"/>
        <v>0</v>
      </c>
      <c r="BB149" s="258">
        <f t="shared" si="304"/>
        <v>0</v>
      </c>
      <c r="BC149" s="258">
        <f t="shared" si="304"/>
        <v>0</v>
      </c>
      <c r="BD149" s="258">
        <f t="shared" si="304"/>
        <v>8554</v>
      </c>
      <c r="BF149" s="258">
        <f>SUM(BF144:BF148)</f>
        <v>0</v>
      </c>
      <c r="BG149" s="258">
        <f t="shared" ref="BG149:BL149" si="305">SUM(BG144:BG148)</f>
        <v>0</v>
      </c>
      <c r="BH149" s="258">
        <f t="shared" si="305"/>
        <v>0</v>
      </c>
      <c r="BI149" s="258">
        <f t="shared" si="305"/>
        <v>0</v>
      </c>
      <c r="BJ149" s="258">
        <f t="shared" si="305"/>
        <v>0</v>
      </c>
      <c r="BK149" s="258">
        <f t="shared" si="305"/>
        <v>0</v>
      </c>
      <c r="BL149" s="258">
        <f t="shared" si="305"/>
        <v>0</v>
      </c>
      <c r="BN149" s="258">
        <f>SUM(BN144:BN148)</f>
        <v>1364430.75</v>
      </c>
      <c r="BO149" s="258">
        <f t="shared" ref="BO149:BT149" si="306">SUM(BO144:BO148)</f>
        <v>0</v>
      </c>
      <c r="BP149" s="258">
        <f t="shared" si="306"/>
        <v>0</v>
      </c>
      <c r="BQ149" s="258">
        <f t="shared" si="306"/>
        <v>0</v>
      </c>
      <c r="BR149" s="258">
        <f t="shared" si="306"/>
        <v>0</v>
      </c>
      <c r="BS149" s="258">
        <f t="shared" si="306"/>
        <v>0</v>
      </c>
      <c r="BT149" s="258">
        <f t="shared" si="306"/>
        <v>1364430.75</v>
      </c>
    </row>
    <row r="150" spans="1:72" x14ac:dyDescent="0.25">
      <c r="B150" s="259"/>
      <c r="C150" s="259"/>
      <c r="D150" s="259"/>
      <c r="E150" s="259"/>
      <c r="F150" s="259"/>
      <c r="G150" s="259"/>
      <c r="H150" s="259"/>
      <c r="J150" s="259"/>
      <c r="K150" s="259"/>
      <c r="L150" s="259"/>
      <c r="M150" s="259"/>
      <c r="N150" s="259"/>
      <c r="O150" s="259"/>
      <c r="P150" s="259"/>
      <c r="R150" s="259"/>
      <c r="S150" s="259"/>
      <c r="T150" s="259"/>
      <c r="U150" s="259"/>
      <c r="V150" s="259"/>
      <c r="W150" s="259"/>
      <c r="X150" s="259"/>
      <c r="Z150" s="259"/>
      <c r="AA150" s="259"/>
      <c r="AB150" s="259"/>
      <c r="AC150" s="259"/>
      <c r="AD150" s="259"/>
      <c r="AE150" s="259"/>
      <c r="AF150" s="259"/>
      <c r="AH150" s="259"/>
      <c r="AI150" s="259"/>
      <c r="AJ150" s="259"/>
      <c r="AK150" s="259"/>
      <c r="AL150" s="259"/>
      <c r="AM150" s="259"/>
      <c r="AN150" s="259"/>
      <c r="AP150" s="259"/>
      <c r="AQ150" s="259"/>
      <c r="AR150" s="259"/>
      <c r="AS150" s="259"/>
      <c r="AT150" s="259"/>
      <c r="AU150" s="259"/>
      <c r="AV150" s="259"/>
      <c r="AX150" s="259"/>
      <c r="AY150" s="259"/>
      <c r="AZ150" s="259"/>
      <c r="BA150" s="259"/>
      <c r="BB150" s="259"/>
      <c r="BC150" s="259"/>
      <c r="BD150" s="259"/>
      <c r="BF150" s="259"/>
      <c r="BG150" s="259"/>
      <c r="BH150" s="259"/>
      <c r="BI150" s="259"/>
      <c r="BJ150" s="259"/>
      <c r="BK150" s="259"/>
      <c r="BL150" s="259"/>
      <c r="BN150" s="259"/>
      <c r="BO150" s="259"/>
      <c r="BP150" s="259"/>
      <c r="BQ150" s="259"/>
      <c r="BR150" s="259"/>
      <c r="BS150" s="259"/>
      <c r="BT150" s="259"/>
    </row>
    <row r="151" spans="1:72" x14ac:dyDescent="0.25">
      <c r="A151" s="208" t="s">
        <v>334</v>
      </c>
      <c r="B151" s="260" t="s">
        <v>309</v>
      </c>
      <c r="C151" s="260" t="s">
        <v>310</v>
      </c>
      <c r="D151" s="260" t="s">
        <v>311</v>
      </c>
      <c r="E151" s="260" t="str">
        <f>E134</f>
        <v>Other</v>
      </c>
      <c r="F151" s="260" t="s">
        <v>315</v>
      </c>
      <c r="G151" s="260" t="s">
        <v>314</v>
      </c>
      <c r="H151" s="260" t="str">
        <f>H143</f>
        <v>Horizon</v>
      </c>
      <c r="J151" s="260" t="s">
        <v>309</v>
      </c>
      <c r="K151" s="260" t="s">
        <v>310</v>
      </c>
      <c r="L151" s="260" t="s">
        <v>311</v>
      </c>
      <c r="M151" s="260" t="str">
        <f>M134</f>
        <v>Other</v>
      </c>
      <c r="N151" s="260" t="s">
        <v>315</v>
      </c>
      <c r="O151" s="260" t="s">
        <v>314</v>
      </c>
      <c r="P151" s="260" t="str">
        <f>P143</f>
        <v>Cadence</v>
      </c>
      <c r="R151" s="260" t="s">
        <v>309</v>
      </c>
      <c r="S151" s="260" t="s">
        <v>310</v>
      </c>
      <c r="T151" s="260" t="s">
        <v>311</v>
      </c>
      <c r="U151" s="260" t="str">
        <f>U134</f>
        <v>Other</v>
      </c>
      <c r="V151" s="260" t="s">
        <v>315</v>
      </c>
      <c r="W151" s="260" t="s">
        <v>314</v>
      </c>
      <c r="X151" s="260" t="str">
        <f>X143</f>
        <v>St. Rose</v>
      </c>
      <c r="Z151" s="260" t="s">
        <v>309</v>
      </c>
      <c r="AA151" s="260" t="s">
        <v>310</v>
      </c>
      <c r="AB151" s="260" t="s">
        <v>311</v>
      </c>
      <c r="AC151" s="260" t="str">
        <f>AC134</f>
        <v>Other</v>
      </c>
      <c r="AD151" s="260" t="s">
        <v>315</v>
      </c>
      <c r="AE151" s="260" t="s">
        <v>314</v>
      </c>
      <c r="AF151" s="260" t="str">
        <f>AF143</f>
        <v>Inspirada</v>
      </c>
      <c r="AH151" s="260" t="s">
        <v>309</v>
      </c>
      <c r="AI151" s="260" t="s">
        <v>310</v>
      </c>
      <c r="AJ151" s="260" t="s">
        <v>311</v>
      </c>
      <c r="AK151" s="260" t="str">
        <f>AK134</f>
        <v>Other</v>
      </c>
      <c r="AL151" s="260" t="s">
        <v>315</v>
      </c>
      <c r="AM151" s="260" t="s">
        <v>314</v>
      </c>
      <c r="AN151" s="260" t="str">
        <f>AN143</f>
        <v>Sloan</v>
      </c>
      <c r="AP151" s="260" t="s">
        <v>309</v>
      </c>
      <c r="AQ151" s="260" t="s">
        <v>310</v>
      </c>
      <c r="AR151" s="260" t="s">
        <v>311</v>
      </c>
      <c r="AS151" s="260" t="str">
        <f>AS134</f>
        <v>Other</v>
      </c>
      <c r="AT151" s="260" t="s">
        <v>315</v>
      </c>
      <c r="AU151" s="260" t="s">
        <v>314</v>
      </c>
      <c r="AV151" s="260" t="str">
        <f>AV143</f>
        <v>Springs</v>
      </c>
      <c r="AX151" s="260" t="s">
        <v>309</v>
      </c>
      <c r="AY151" s="260" t="s">
        <v>310</v>
      </c>
      <c r="AZ151" s="260" t="s">
        <v>311</v>
      </c>
      <c r="BA151" s="260" t="str">
        <f>BA134</f>
        <v>Other</v>
      </c>
      <c r="BB151" s="260" t="s">
        <v>315</v>
      </c>
      <c r="BC151" s="260" t="s">
        <v>314</v>
      </c>
      <c r="BD151" s="260" t="str">
        <f>BD143</f>
        <v>Virtual</v>
      </c>
      <c r="BF151" s="260" t="s">
        <v>309</v>
      </c>
      <c r="BG151" s="260" t="s">
        <v>310</v>
      </c>
      <c r="BH151" s="260" t="s">
        <v>311</v>
      </c>
      <c r="BI151" s="260" t="str">
        <f>BI134</f>
        <v>Other</v>
      </c>
      <c r="BJ151" s="260" t="s">
        <v>315</v>
      </c>
      <c r="BK151" s="260" t="s">
        <v>314</v>
      </c>
      <c r="BL151" s="260" t="str">
        <f>BL143</f>
        <v>Central</v>
      </c>
      <c r="BN151" s="260" t="s">
        <v>309</v>
      </c>
      <c r="BO151" s="260" t="s">
        <v>310</v>
      </c>
      <c r="BP151" s="260" t="s">
        <v>311</v>
      </c>
      <c r="BQ151" s="260" t="str">
        <f>BQ134</f>
        <v>Other</v>
      </c>
      <c r="BR151" s="260" t="s">
        <v>315</v>
      </c>
      <c r="BS151" s="260" t="s">
        <v>314</v>
      </c>
      <c r="BT151" s="260" t="str">
        <f>BT143</f>
        <v>System</v>
      </c>
    </row>
    <row r="152" spans="1:72" x14ac:dyDescent="0.25">
      <c r="A152" s="214" t="s">
        <v>262</v>
      </c>
      <c r="B152" s="257">
        <f>8500*1.03</f>
        <v>8755</v>
      </c>
      <c r="C152" s="257"/>
      <c r="D152" s="257"/>
      <c r="E152" s="257"/>
      <c r="F152" s="257"/>
      <c r="G152" s="257"/>
      <c r="H152" s="257">
        <f>SUM(B152:G152)</f>
        <v>8755</v>
      </c>
      <c r="J152" s="257">
        <f>((6500*3)+3000)*1.03</f>
        <v>23175</v>
      </c>
      <c r="K152" s="257"/>
      <c r="L152" s="257"/>
      <c r="M152" s="257"/>
      <c r="N152" s="257"/>
      <c r="O152" s="257"/>
      <c r="P152" s="257">
        <f>SUM(J152:O152)</f>
        <v>23175</v>
      </c>
      <c r="R152" s="257">
        <f>(6500*2)*1.03</f>
        <v>13390</v>
      </c>
      <c r="S152" s="257"/>
      <c r="T152" s="257"/>
      <c r="U152" s="257"/>
      <c r="V152" s="257"/>
      <c r="W152" s="257"/>
      <c r="X152" s="257">
        <f>SUM(R152:W152)</f>
        <v>13390</v>
      </c>
      <c r="Z152" s="257">
        <f>(6500*2)*1.03</f>
        <v>13390</v>
      </c>
      <c r="AA152" s="257"/>
      <c r="AB152" s="257"/>
      <c r="AC152" s="257"/>
      <c r="AD152" s="257"/>
      <c r="AE152" s="257"/>
      <c r="AF152" s="257">
        <f>SUM(Z152:AE152)</f>
        <v>13390</v>
      </c>
      <c r="AH152" s="257">
        <f>((6500*3)*1.03)+3000</f>
        <v>23085</v>
      </c>
      <c r="AI152" s="257"/>
      <c r="AJ152" s="257"/>
      <c r="AK152" s="257"/>
      <c r="AL152" s="257"/>
      <c r="AM152" s="257"/>
      <c r="AN152" s="257">
        <f>SUM(AH152:AM152)</f>
        <v>23085</v>
      </c>
      <c r="AP152" s="257">
        <v>6500</v>
      </c>
      <c r="AQ152" s="257"/>
      <c r="AR152" s="257"/>
      <c r="AS152" s="257"/>
      <c r="AT152" s="257"/>
      <c r="AU152" s="257"/>
      <c r="AV152" s="257">
        <f>SUM(AP152:AU152)</f>
        <v>6500</v>
      </c>
      <c r="AX152" s="257">
        <f>(6500*2)*1.03</f>
        <v>13390</v>
      </c>
      <c r="AY152" s="257"/>
      <c r="AZ152" s="257"/>
      <c r="BA152" s="257"/>
      <c r="BB152" s="257"/>
      <c r="BC152" s="257"/>
      <c r="BD152" s="257">
        <f>SUM(AX152:BC152)</f>
        <v>13390</v>
      </c>
      <c r="BF152" s="241"/>
      <c r="BG152" s="257"/>
      <c r="BH152" s="257"/>
      <c r="BI152" s="257"/>
      <c r="BJ152" s="257"/>
      <c r="BK152" s="257"/>
      <c r="BL152" s="257">
        <f>SUM(BF152:BK152)</f>
        <v>0</v>
      </c>
      <c r="BN152" s="241">
        <f>B152+J152+R152+Z152+AH152+AP152+AX152+BF152</f>
        <v>101685</v>
      </c>
      <c r="BO152" s="241">
        <f t="shared" ref="BO152:BS158" si="307">C152+K152+S152+AA152+AI152+AQ152+AY152+BG152</f>
        <v>0</v>
      </c>
      <c r="BP152" s="241">
        <f t="shared" si="307"/>
        <v>0</v>
      </c>
      <c r="BQ152" s="241">
        <f t="shared" si="307"/>
        <v>0</v>
      </c>
      <c r="BR152" s="241">
        <f t="shared" si="307"/>
        <v>0</v>
      </c>
      <c r="BS152" s="241">
        <f t="shared" si="307"/>
        <v>0</v>
      </c>
      <c r="BT152" s="257">
        <f>SUM(BN152:BS152)</f>
        <v>101685</v>
      </c>
    </row>
    <row r="153" spans="1:72" x14ac:dyDescent="0.25">
      <c r="A153" s="211" t="s">
        <v>263</v>
      </c>
      <c r="B153" s="244"/>
      <c r="C153" s="244">
        <f>(460*B17)</f>
        <v>426420</v>
      </c>
      <c r="D153" s="244"/>
      <c r="E153" s="244"/>
      <c r="F153" s="244"/>
      <c r="G153" s="244"/>
      <c r="H153" s="257">
        <f t="shared" ref="H153:H158" si="308">SUM(B153:G153)</f>
        <v>426420</v>
      </c>
      <c r="J153" s="244"/>
      <c r="K153" s="244">
        <f>(160*J17)</f>
        <v>402240</v>
      </c>
      <c r="L153" s="244"/>
      <c r="M153" s="244"/>
      <c r="N153" s="244"/>
      <c r="O153" s="244"/>
      <c r="P153" s="257">
        <f t="shared" ref="P153:P158" si="309">SUM(J153:O153)</f>
        <v>402240</v>
      </c>
      <c r="R153" s="244"/>
      <c r="S153" s="244">
        <f>(180*R17)</f>
        <v>185400</v>
      </c>
      <c r="T153" s="244"/>
      <c r="U153" s="244"/>
      <c r="V153" s="244"/>
      <c r="W153" s="244"/>
      <c r="X153" s="257">
        <f t="shared" ref="X153:X158" si="310">SUM(R153:W153)</f>
        <v>185400</v>
      </c>
      <c r="Z153" s="244"/>
      <c r="AA153" s="244">
        <f>(90*Z17)</f>
        <v>107820</v>
      </c>
      <c r="AB153" s="244"/>
      <c r="AC153" s="244"/>
      <c r="AD153" s="244"/>
      <c r="AE153" s="244"/>
      <c r="AF153" s="257">
        <f t="shared" ref="AF153:AF158" si="311">SUM(Z153:AE153)</f>
        <v>107820</v>
      </c>
      <c r="AH153" s="244"/>
      <c r="AI153" s="244">
        <f>(180*AH17)</f>
        <v>449640</v>
      </c>
      <c r="AJ153" s="244"/>
      <c r="AK153" s="244"/>
      <c r="AL153" s="244"/>
      <c r="AM153" s="244"/>
      <c r="AN153" s="257">
        <f t="shared" ref="AN153:AN158" si="312">SUM(AH153:AM153)</f>
        <v>449640</v>
      </c>
      <c r="AP153" s="244"/>
      <c r="AQ153" s="280">
        <f>(400*AP17)</f>
        <v>275200</v>
      </c>
      <c r="AR153" s="244"/>
      <c r="AS153" s="244"/>
      <c r="AT153" s="244"/>
      <c r="AU153" s="244"/>
      <c r="AV153" s="257">
        <f t="shared" ref="AV153:AV158" si="313">SUM(AP153:AU153)</f>
        <v>275200</v>
      </c>
      <c r="AX153" s="244"/>
      <c r="AY153" s="280">
        <f>(275*AX17)</f>
        <v>50050</v>
      </c>
      <c r="AZ153" s="244"/>
      <c r="BA153" s="244"/>
      <c r="BB153" s="244"/>
      <c r="BC153" s="244"/>
      <c r="BD153" s="257">
        <f t="shared" ref="BD153:BD158" si="314">SUM(AX153:BC153)</f>
        <v>50050</v>
      </c>
      <c r="BF153" s="244"/>
      <c r="BG153" s="244"/>
      <c r="BH153" s="244"/>
      <c r="BI153" s="244"/>
      <c r="BJ153" s="244"/>
      <c r="BK153" s="244"/>
      <c r="BL153" s="257">
        <f t="shared" ref="BL153:BL158" si="315">SUM(BF153:BK153)</f>
        <v>0</v>
      </c>
      <c r="BN153" s="241">
        <f t="shared" ref="BN153:BN158" si="316">B153+J153+R153+Z153+AH153+AP153+AX153+BF153</f>
        <v>0</v>
      </c>
      <c r="BO153" s="241">
        <f t="shared" si="307"/>
        <v>1896770</v>
      </c>
      <c r="BP153" s="241">
        <f t="shared" si="307"/>
        <v>0</v>
      </c>
      <c r="BQ153" s="241">
        <f t="shared" si="307"/>
        <v>0</v>
      </c>
      <c r="BR153" s="241">
        <f t="shared" si="307"/>
        <v>0</v>
      </c>
      <c r="BS153" s="241">
        <f t="shared" si="307"/>
        <v>0</v>
      </c>
      <c r="BT153" s="257">
        <f t="shared" ref="BT153:BT158" si="317">SUM(BN153:BS153)</f>
        <v>1896770</v>
      </c>
    </row>
    <row r="154" spans="1:72" x14ac:dyDescent="0.25">
      <c r="A154" s="211" t="s">
        <v>325</v>
      </c>
      <c r="B154" s="244">
        <f>(210*11*B36)-B124</f>
        <v>64620</v>
      </c>
      <c r="C154" s="244">
        <f>(210*11*C36)-C124</f>
        <v>11550</v>
      </c>
      <c r="D154" s="244">
        <f>(195*11*D36)-D124</f>
        <v>0</v>
      </c>
      <c r="E154" s="244">
        <f>(195*11*E36)-E124</f>
        <v>0</v>
      </c>
      <c r="F154" s="244">
        <f>(195*11*F34)-F124</f>
        <v>0</v>
      </c>
      <c r="G154" s="244">
        <f>(195*11*G34)-G124</f>
        <v>0</v>
      </c>
      <c r="H154" s="257">
        <f t="shared" si="308"/>
        <v>76170</v>
      </c>
      <c r="J154" s="244">
        <f>(215*11*J36)-J124</f>
        <v>141665</v>
      </c>
      <c r="K154" s="244">
        <f>(215*11*K36)-K124</f>
        <v>30745</v>
      </c>
      <c r="L154" s="244">
        <f>(195*11*L36)-L124</f>
        <v>0</v>
      </c>
      <c r="M154" s="244">
        <f>(195*11*M36)-M124</f>
        <v>0</v>
      </c>
      <c r="N154" s="244">
        <f>(195*11*N34)-N124</f>
        <v>0</v>
      </c>
      <c r="O154" s="244">
        <f>(195*11*O34)-O124</f>
        <v>0</v>
      </c>
      <c r="P154" s="257">
        <f t="shared" si="309"/>
        <v>172410</v>
      </c>
      <c r="R154" s="244">
        <f>(215*11*R36)-R124</f>
        <v>71660</v>
      </c>
      <c r="S154" s="244">
        <f>(215*11*S36)-S124</f>
        <v>9460</v>
      </c>
      <c r="T154" s="244">
        <f>(195*11*T36)-T124</f>
        <v>0</v>
      </c>
      <c r="U154" s="244">
        <f>(195*11*U36)-U124</f>
        <v>0</v>
      </c>
      <c r="V154" s="244">
        <f>(195*11*V34)-V124</f>
        <v>0</v>
      </c>
      <c r="W154" s="244">
        <f>(195*11*W34)-W124</f>
        <v>0</v>
      </c>
      <c r="X154" s="257">
        <f t="shared" si="310"/>
        <v>81120</v>
      </c>
      <c r="Z154" s="244">
        <f>(215*11*Z36)-Z124</f>
        <v>67640</v>
      </c>
      <c r="AA154" s="244">
        <f>(215*11*AA36)-AA124</f>
        <v>11825</v>
      </c>
      <c r="AB154" s="244">
        <f>(195*11*AB36)-AB124</f>
        <v>0</v>
      </c>
      <c r="AC154" s="244">
        <f>(195*11*AC36)-AC124</f>
        <v>0</v>
      </c>
      <c r="AD154" s="244">
        <f>(195*11*AD34)-AD124</f>
        <v>0</v>
      </c>
      <c r="AE154" s="244">
        <f>(195*11*AE34)-AE124</f>
        <v>0</v>
      </c>
      <c r="AF154" s="257">
        <f t="shared" si="311"/>
        <v>79465</v>
      </c>
      <c r="AH154" s="244">
        <f>(215*11*AH36)-AH124</f>
        <v>111630</v>
      </c>
      <c r="AI154" s="244">
        <f>(215*11*AI36)-AI124</f>
        <v>30745</v>
      </c>
      <c r="AJ154" s="244">
        <f>(195*11*AJ36)-AJ124</f>
        <v>0</v>
      </c>
      <c r="AK154" s="244">
        <f>(195*11*AK36)-AK124</f>
        <v>0</v>
      </c>
      <c r="AL154" s="244">
        <f>(195*11*AL34)-AL124</f>
        <v>0</v>
      </c>
      <c r="AM154" s="244">
        <f>(195*11*AM34)-AM124</f>
        <v>0</v>
      </c>
      <c r="AN154" s="257">
        <f t="shared" si="312"/>
        <v>142375</v>
      </c>
      <c r="AP154" s="244">
        <f>(215*11*AP36)-AP124</f>
        <v>70950</v>
      </c>
      <c r="AQ154" s="244">
        <f>(215*11*AQ36)-AQ124</f>
        <v>7095</v>
      </c>
      <c r="AR154" s="244">
        <f>(195*11*AR36)-AR124</f>
        <v>0</v>
      </c>
      <c r="AS154" s="244">
        <f>(195*11*AS36)-AS124</f>
        <v>0</v>
      </c>
      <c r="AT154" s="244">
        <f>(195*11*AT34)-AT124</f>
        <v>0</v>
      </c>
      <c r="AU154" s="244">
        <f>(195*11*AU34)-AU124</f>
        <v>0</v>
      </c>
      <c r="AV154" s="257">
        <f t="shared" si="313"/>
        <v>78045</v>
      </c>
      <c r="AX154" s="244">
        <f>(215*11*AX36)-AX124</f>
        <v>0</v>
      </c>
      <c r="AY154" s="244">
        <f>(215*11*AY36)-AY124</f>
        <v>2365</v>
      </c>
      <c r="AZ154" s="244">
        <f>(195*11*AZ36)-AZ124</f>
        <v>0</v>
      </c>
      <c r="BA154" s="244">
        <f>(195*11*BA36)-BA124</f>
        <v>0</v>
      </c>
      <c r="BB154" s="244">
        <f>(195*11*BB34)-BB124</f>
        <v>0</v>
      </c>
      <c r="BC154" s="244">
        <f>(195*11*BC34)-BC124</f>
        <v>0</v>
      </c>
      <c r="BD154" s="257">
        <f t="shared" si="314"/>
        <v>2365</v>
      </c>
      <c r="BF154" s="244"/>
      <c r="BG154" s="244"/>
      <c r="BH154" s="244"/>
      <c r="BI154" s="244"/>
      <c r="BJ154" s="244"/>
      <c r="BK154" s="244"/>
      <c r="BL154" s="257">
        <f t="shared" si="315"/>
        <v>0</v>
      </c>
      <c r="BN154" s="241">
        <f t="shared" si="316"/>
        <v>528165</v>
      </c>
      <c r="BO154" s="241">
        <f t="shared" si="307"/>
        <v>103785</v>
      </c>
      <c r="BP154" s="241">
        <f t="shared" si="307"/>
        <v>0</v>
      </c>
      <c r="BQ154" s="241">
        <f t="shared" si="307"/>
        <v>0</v>
      </c>
      <c r="BR154" s="241">
        <f t="shared" si="307"/>
        <v>0</v>
      </c>
      <c r="BS154" s="241">
        <f t="shared" si="307"/>
        <v>0</v>
      </c>
      <c r="BT154" s="257">
        <f t="shared" si="317"/>
        <v>631950</v>
      </c>
    </row>
    <row r="155" spans="1:72" x14ac:dyDescent="0.25">
      <c r="A155" s="211" t="s">
        <v>264</v>
      </c>
      <c r="B155" s="244"/>
      <c r="C155" s="244"/>
      <c r="D155" s="244"/>
      <c r="E155" s="244"/>
      <c r="F155" s="244"/>
      <c r="G155" s="244"/>
      <c r="H155" s="257">
        <f t="shared" si="308"/>
        <v>0</v>
      </c>
      <c r="J155" s="244"/>
      <c r="K155" s="244"/>
      <c r="L155" s="244"/>
      <c r="M155" s="244"/>
      <c r="N155" s="244"/>
      <c r="O155" s="244"/>
      <c r="P155" s="257">
        <f t="shared" si="309"/>
        <v>0</v>
      </c>
      <c r="R155" s="244"/>
      <c r="S155" s="244"/>
      <c r="T155" s="244"/>
      <c r="U155" s="244"/>
      <c r="V155" s="244"/>
      <c r="W155" s="244"/>
      <c r="X155" s="257">
        <f t="shared" si="310"/>
        <v>0</v>
      </c>
      <c r="Z155" s="244"/>
      <c r="AA155" s="244"/>
      <c r="AB155" s="244"/>
      <c r="AC155" s="244"/>
      <c r="AD155" s="244"/>
      <c r="AE155" s="244"/>
      <c r="AF155" s="257">
        <f t="shared" si="311"/>
        <v>0</v>
      </c>
      <c r="AH155" s="244"/>
      <c r="AI155" s="244"/>
      <c r="AJ155" s="244"/>
      <c r="AK155" s="244"/>
      <c r="AL155" s="244"/>
      <c r="AM155" s="244"/>
      <c r="AN155" s="257">
        <f t="shared" si="312"/>
        <v>0</v>
      </c>
      <c r="AP155" s="244"/>
      <c r="AQ155" s="244"/>
      <c r="AR155" s="244"/>
      <c r="AS155" s="244"/>
      <c r="AT155" s="244"/>
      <c r="AU155" s="244"/>
      <c r="AV155" s="257">
        <f t="shared" si="313"/>
        <v>0</v>
      </c>
      <c r="AX155" s="244">
        <f>(130*12)*AX17</f>
        <v>283920</v>
      </c>
      <c r="AY155" s="244"/>
      <c r="AZ155" s="244"/>
      <c r="BA155" s="244"/>
      <c r="BB155" s="244"/>
      <c r="BC155" s="244"/>
      <c r="BD155" s="257">
        <f t="shared" si="314"/>
        <v>283920</v>
      </c>
      <c r="BF155" s="244"/>
      <c r="BG155" s="244"/>
      <c r="BH155" s="244"/>
      <c r="BI155" s="244"/>
      <c r="BJ155" s="244"/>
      <c r="BK155" s="244"/>
      <c r="BL155" s="257">
        <f t="shared" si="315"/>
        <v>0</v>
      </c>
      <c r="BN155" s="241">
        <f t="shared" si="316"/>
        <v>283920</v>
      </c>
      <c r="BO155" s="241">
        <f t="shared" si="307"/>
        <v>0</v>
      </c>
      <c r="BP155" s="241">
        <f t="shared" si="307"/>
        <v>0</v>
      </c>
      <c r="BQ155" s="241">
        <f t="shared" si="307"/>
        <v>0</v>
      </c>
      <c r="BR155" s="241">
        <f t="shared" si="307"/>
        <v>0</v>
      </c>
      <c r="BS155" s="241">
        <f t="shared" si="307"/>
        <v>0</v>
      </c>
      <c r="BT155" s="257">
        <f t="shared" si="317"/>
        <v>283920</v>
      </c>
    </row>
    <row r="156" spans="1:72" x14ac:dyDescent="0.25">
      <c r="A156" s="211" t="s">
        <v>265</v>
      </c>
      <c r="B156" s="244">
        <f>B68*0.005</f>
        <v>43967.61</v>
      </c>
      <c r="C156" s="244"/>
      <c r="D156" s="244"/>
      <c r="E156" s="244"/>
      <c r="F156" s="244"/>
      <c r="G156" s="244"/>
      <c r="H156" s="257">
        <f t="shared" si="308"/>
        <v>43967.61</v>
      </c>
      <c r="J156" s="244">
        <f>J68*0.005</f>
        <v>119239.02</v>
      </c>
      <c r="K156" s="244"/>
      <c r="L156" s="244"/>
      <c r="M156" s="244"/>
      <c r="N156" s="244"/>
      <c r="O156" s="244"/>
      <c r="P156" s="257">
        <f t="shared" si="309"/>
        <v>119239.02</v>
      </c>
      <c r="R156" s="244">
        <f>R68*0.005</f>
        <v>48852.9</v>
      </c>
      <c r="S156" s="244"/>
      <c r="T156" s="244"/>
      <c r="U156" s="244"/>
      <c r="V156" s="244"/>
      <c r="W156" s="244"/>
      <c r="X156" s="257">
        <f t="shared" si="310"/>
        <v>48852.9</v>
      </c>
      <c r="Z156" s="244">
        <f>Z68*0.005</f>
        <v>56821.14</v>
      </c>
      <c r="AA156" s="244"/>
      <c r="AB156" s="244"/>
      <c r="AC156" s="244"/>
      <c r="AD156" s="244"/>
      <c r="AE156" s="244"/>
      <c r="AF156" s="257">
        <f t="shared" si="311"/>
        <v>56821.14</v>
      </c>
      <c r="AH156" s="244">
        <f>AH68*0.005</f>
        <v>118480.14</v>
      </c>
      <c r="AI156" s="244"/>
      <c r="AJ156" s="244"/>
      <c r="AK156" s="244"/>
      <c r="AL156" s="244"/>
      <c r="AM156" s="244"/>
      <c r="AN156" s="257">
        <f t="shared" si="312"/>
        <v>118480.14</v>
      </c>
      <c r="AP156" s="244">
        <f>AP68*0.005</f>
        <v>32631.84</v>
      </c>
      <c r="AQ156" s="244"/>
      <c r="AR156" s="244"/>
      <c r="AS156" s="244"/>
      <c r="AT156" s="244"/>
      <c r="AU156" s="244"/>
      <c r="AV156" s="257">
        <f t="shared" si="313"/>
        <v>32631.84</v>
      </c>
      <c r="AX156" s="244">
        <f>AX68*0.005</f>
        <v>8632.26</v>
      </c>
      <c r="AY156" s="244"/>
      <c r="AZ156" s="244"/>
      <c r="BA156" s="244"/>
      <c r="BB156" s="244"/>
      <c r="BC156" s="244"/>
      <c r="BD156" s="257">
        <f t="shared" si="314"/>
        <v>8632.26</v>
      </c>
      <c r="BF156" s="244"/>
      <c r="BG156" s="244"/>
      <c r="BH156" s="244"/>
      <c r="BI156" s="244"/>
      <c r="BJ156" s="244"/>
      <c r="BK156" s="244"/>
      <c r="BL156" s="257">
        <f t="shared" si="315"/>
        <v>0</v>
      </c>
      <c r="BN156" s="241">
        <f t="shared" si="316"/>
        <v>428624.91000000003</v>
      </c>
      <c r="BO156" s="241">
        <f t="shared" si="307"/>
        <v>0</v>
      </c>
      <c r="BP156" s="241">
        <f t="shared" si="307"/>
        <v>0</v>
      </c>
      <c r="BQ156" s="241">
        <f t="shared" si="307"/>
        <v>0</v>
      </c>
      <c r="BR156" s="241">
        <f t="shared" si="307"/>
        <v>0</v>
      </c>
      <c r="BS156" s="241">
        <f t="shared" si="307"/>
        <v>0</v>
      </c>
      <c r="BT156" s="257">
        <f t="shared" si="317"/>
        <v>428624.91000000003</v>
      </c>
    </row>
    <row r="157" spans="1:72" x14ac:dyDescent="0.25">
      <c r="A157" s="211" t="s">
        <v>266</v>
      </c>
      <c r="B157" s="244">
        <f>(B68*0.005)</f>
        <v>43967.61</v>
      </c>
      <c r="C157" s="244"/>
      <c r="D157" s="244"/>
      <c r="E157" s="244"/>
      <c r="F157" s="244"/>
      <c r="G157" s="244"/>
      <c r="H157" s="257">
        <f t="shared" si="308"/>
        <v>43967.61</v>
      </c>
      <c r="J157" s="244">
        <f>(J68*0.005)</f>
        <v>119239.02</v>
      </c>
      <c r="K157" s="244"/>
      <c r="L157" s="244"/>
      <c r="M157" s="244"/>
      <c r="N157" s="244"/>
      <c r="O157" s="244"/>
      <c r="P157" s="257">
        <f t="shared" si="309"/>
        <v>119239.02</v>
      </c>
      <c r="R157" s="244">
        <f>(R68*0.005)</f>
        <v>48852.9</v>
      </c>
      <c r="S157" s="244"/>
      <c r="T157" s="244"/>
      <c r="U157" s="244"/>
      <c r="V157" s="244"/>
      <c r="W157" s="244"/>
      <c r="X157" s="257">
        <f t="shared" si="310"/>
        <v>48852.9</v>
      </c>
      <c r="Z157" s="244">
        <f>(Z68*0.005)</f>
        <v>56821.14</v>
      </c>
      <c r="AA157" s="244"/>
      <c r="AB157" s="244"/>
      <c r="AC157" s="244"/>
      <c r="AD157" s="244"/>
      <c r="AE157" s="244"/>
      <c r="AF157" s="257">
        <f t="shared" si="311"/>
        <v>56821.14</v>
      </c>
      <c r="AH157" s="244">
        <f>(AH68*0.005)</f>
        <v>118480.14</v>
      </c>
      <c r="AI157" s="244"/>
      <c r="AJ157" s="244"/>
      <c r="AK157" s="244"/>
      <c r="AL157" s="244"/>
      <c r="AM157" s="244"/>
      <c r="AN157" s="257">
        <f t="shared" si="312"/>
        <v>118480.14</v>
      </c>
      <c r="AP157" s="244">
        <f>(AP68*0.005)</f>
        <v>32631.84</v>
      </c>
      <c r="AQ157" s="244"/>
      <c r="AR157" s="244"/>
      <c r="AS157" s="244"/>
      <c r="AT157" s="244"/>
      <c r="AU157" s="244"/>
      <c r="AV157" s="257">
        <f t="shared" si="313"/>
        <v>32631.84</v>
      </c>
      <c r="AX157" s="244">
        <f>(AX68*0.005)</f>
        <v>8632.26</v>
      </c>
      <c r="AY157" s="244"/>
      <c r="AZ157" s="244"/>
      <c r="BA157" s="244"/>
      <c r="BB157" s="244"/>
      <c r="BC157" s="244"/>
      <c r="BD157" s="257">
        <f t="shared" si="314"/>
        <v>8632.26</v>
      </c>
      <c r="BF157" s="244"/>
      <c r="BG157" s="244"/>
      <c r="BH157" s="244"/>
      <c r="BI157" s="244"/>
      <c r="BJ157" s="244"/>
      <c r="BK157" s="244"/>
      <c r="BL157" s="257">
        <f t="shared" si="315"/>
        <v>0</v>
      </c>
      <c r="BN157" s="241">
        <f t="shared" si="316"/>
        <v>428624.91000000003</v>
      </c>
      <c r="BO157" s="241">
        <f t="shared" si="307"/>
        <v>0</v>
      </c>
      <c r="BP157" s="241">
        <f t="shared" si="307"/>
        <v>0</v>
      </c>
      <c r="BQ157" s="241">
        <f t="shared" si="307"/>
        <v>0</v>
      </c>
      <c r="BR157" s="241">
        <f t="shared" si="307"/>
        <v>0</v>
      </c>
      <c r="BS157" s="241">
        <f t="shared" si="307"/>
        <v>0</v>
      </c>
      <c r="BT157" s="257">
        <f t="shared" si="317"/>
        <v>428624.91000000003</v>
      </c>
    </row>
    <row r="158" spans="1:72" x14ac:dyDescent="0.25">
      <c r="A158" s="212" t="s">
        <v>267</v>
      </c>
      <c r="B158" s="245"/>
      <c r="C158" s="245"/>
      <c r="D158" s="245"/>
      <c r="E158" s="245"/>
      <c r="F158" s="245"/>
      <c r="G158" s="245"/>
      <c r="H158" s="257">
        <f t="shared" si="308"/>
        <v>0</v>
      </c>
      <c r="J158" s="245"/>
      <c r="K158" s="245"/>
      <c r="L158" s="245"/>
      <c r="M158" s="245"/>
      <c r="N158" s="245"/>
      <c r="O158" s="245"/>
      <c r="P158" s="257">
        <f t="shared" si="309"/>
        <v>0</v>
      </c>
      <c r="R158" s="245"/>
      <c r="S158" s="245"/>
      <c r="T158" s="245"/>
      <c r="U158" s="245"/>
      <c r="V158" s="245"/>
      <c r="W158" s="245"/>
      <c r="X158" s="257">
        <f t="shared" si="310"/>
        <v>0</v>
      </c>
      <c r="Z158" s="245"/>
      <c r="AA158" s="245"/>
      <c r="AB158" s="245"/>
      <c r="AC158" s="245"/>
      <c r="AD158" s="245"/>
      <c r="AE158" s="245"/>
      <c r="AF158" s="257">
        <f t="shared" si="311"/>
        <v>0</v>
      </c>
      <c r="AH158" s="245"/>
      <c r="AI158" s="245"/>
      <c r="AJ158" s="245"/>
      <c r="AK158" s="245"/>
      <c r="AL158" s="245"/>
      <c r="AM158" s="245"/>
      <c r="AN158" s="257">
        <f t="shared" si="312"/>
        <v>0</v>
      </c>
      <c r="AP158" s="245"/>
      <c r="AQ158" s="245"/>
      <c r="AR158" s="245"/>
      <c r="AS158" s="245"/>
      <c r="AT158" s="245"/>
      <c r="AU158" s="245"/>
      <c r="AV158" s="257">
        <f t="shared" si="313"/>
        <v>0</v>
      </c>
      <c r="AX158" s="245"/>
      <c r="AY158" s="245"/>
      <c r="AZ158" s="245"/>
      <c r="BA158" s="245"/>
      <c r="BB158" s="245"/>
      <c r="BC158" s="245"/>
      <c r="BD158" s="257">
        <f t="shared" si="314"/>
        <v>0</v>
      </c>
      <c r="BF158" s="245"/>
      <c r="BG158" s="245"/>
      <c r="BH158" s="245"/>
      <c r="BI158" s="245"/>
      <c r="BJ158" s="245"/>
      <c r="BK158" s="245"/>
      <c r="BL158" s="257">
        <f t="shared" si="315"/>
        <v>0</v>
      </c>
      <c r="BN158" s="241">
        <f t="shared" si="316"/>
        <v>0</v>
      </c>
      <c r="BO158" s="241">
        <f t="shared" si="307"/>
        <v>0</v>
      </c>
      <c r="BP158" s="241">
        <f t="shared" si="307"/>
        <v>0</v>
      </c>
      <c r="BQ158" s="241">
        <f t="shared" si="307"/>
        <v>0</v>
      </c>
      <c r="BR158" s="241">
        <f t="shared" si="307"/>
        <v>0</v>
      </c>
      <c r="BS158" s="241">
        <f t="shared" si="307"/>
        <v>0</v>
      </c>
      <c r="BT158" s="257">
        <f t="shared" si="317"/>
        <v>0</v>
      </c>
    </row>
    <row r="159" spans="1:72" x14ac:dyDescent="0.25">
      <c r="A159" s="213"/>
      <c r="B159" s="258">
        <f>SUM(B152:B158)</f>
        <v>161310.22</v>
      </c>
      <c r="C159" s="258">
        <f t="shared" ref="C159:G159" si="318">SUM(C152:C158)</f>
        <v>437970</v>
      </c>
      <c r="D159" s="258">
        <f t="shared" si="318"/>
        <v>0</v>
      </c>
      <c r="E159" s="258">
        <f t="shared" si="318"/>
        <v>0</v>
      </c>
      <c r="F159" s="258">
        <f t="shared" si="318"/>
        <v>0</v>
      </c>
      <c r="G159" s="258">
        <f t="shared" si="318"/>
        <v>0</v>
      </c>
      <c r="H159" s="258">
        <f>SUM(H152:H158)</f>
        <v>599280.22</v>
      </c>
      <c r="J159" s="258">
        <f>SUM(J152:J158)</f>
        <v>403318.04000000004</v>
      </c>
      <c r="K159" s="258">
        <f t="shared" ref="K159:O159" si="319">SUM(K152:K158)</f>
        <v>432985</v>
      </c>
      <c r="L159" s="258">
        <f t="shared" si="319"/>
        <v>0</v>
      </c>
      <c r="M159" s="258">
        <f t="shared" si="319"/>
        <v>0</v>
      </c>
      <c r="N159" s="258">
        <f t="shared" si="319"/>
        <v>0</v>
      </c>
      <c r="O159" s="258">
        <f t="shared" si="319"/>
        <v>0</v>
      </c>
      <c r="P159" s="258">
        <f>SUM(P152:P158)</f>
        <v>836303.04</v>
      </c>
      <c r="R159" s="258">
        <f>SUM(R152:R158)</f>
        <v>182755.8</v>
      </c>
      <c r="S159" s="258">
        <f t="shared" ref="S159:W159" si="320">SUM(S152:S158)</f>
        <v>194860</v>
      </c>
      <c r="T159" s="258">
        <f t="shared" si="320"/>
        <v>0</v>
      </c>
      <c r="U159" s="258">
        <f t="shared" si="320"/>
        <v>0</v>
      </c>
      <c r="V159" s="258">
        <f t="shared" si="320"/>
        <v>0</v>
      </c>
      <c r="W159" s="258">
        <f t="shared" si="320"/>
        <v>0</v>
      </c>
      <c r="X159" s="258">
        <f>SUM(X152:X158)</f>
        <v>377615.80000000005</v>
      </c>
      <c r="Z159" s="258">
        <f>SUM(Z152:Z158)</f>
        <v>194672.28000000003</v>
      </c>
      <c r="AA159" s="258">
        <f t="shared" ref="AA159:AE159" si="321">SUM(AA152:AA158)</f>
        <v>119645</v>
      </c>
      <c r="AB159" s="258">
        <f t="shared" si="321"/>
        <v>0</v>
      </c>
      <c r="AC159" s="258">
        <f t="shared" si="321"/>
        <v>0</v>
      </c>
      <c r="AD159" s="258">
        <f t="shared" si="321"/>
        <v>0</v>
      </c>
      <c r="AE159" s="258">
        <f t="shared" si="321"/>
        <v>0</v>
      </c>
      <c r="AF159" s="258">
        <f>SUM(AF152:AF158)</f>
        <v>314317.28000000003</v>
      </c>
      <c r="AH159" s="258">
        <f>SUM(AH152:AH158)</f>
        <v>371675.28</v>
      </c>
      <c r="AI159" s="258">
        <f t="shared" ref="AI159:AM159" si="322">SUM(AI152:AI158)</f>
        <v>480385</v>
      </c>
      <c r="AJ159" s="258">
        <f t="shared" si="322"/>
        <v>0</v>
      </c>
      <c r="AK159" s="258">
        <f t="shared" si="322"/>
        <v>0</v>
      </c>
      <c r="AL159" s="258">
        <f t="shared" si="322"/>
        <v>0</v>
      </c>
      <c r="AM159" s="258">
        <f t="shared" si="322"/>
        <v>0</v>
      </c>
      <c r="AN159" s="258">
        <f>SUM(AN152:AN158)</f>
        <v>852060.28</v>
      </c>
      <c r="AP159" s="258">
        <f>SUM(AP152:AP158)</f>
        <v>142713.68</v>
      </c>
      <c r="AQ159" s="258">
        <f t="shared" ref="AQ159:AU159" si="323">SUM(AQ152:AQ158)</f>
        <v>282295</v>
      </c>
      <c r="AR159" s="258">
        <f t="shared" si="323"/>
        <v>0</v>
      </c>
      <c r="AS159" s="258">
        <f t="shared" si="323"/>
        <v>0</v>
      </c>
      <c r="AT159" s="258">
        <f t="shared" si="323"/>
        <v>0</v>
      </c>
      <c r="AU159" s="258">
        <f t="shared" si="323"/>
        <v>0</v>
      </c>
      <c r="AV159" s="258">
        <f>SUM(AV152:AV158)</f>
        <v>425008.68000000005</v>
      </c>
      <c r="AX159" s="258">
        <f>SUM(AX152:AX158)</f>
        <v>314574.52</v>
      </c>
      <c r="AY159" s="258">
        <f t="shared" ref="AY159:BC159" si="324">SUM(AY152:AY158)</f>
        <v>52415</v>
      </c>
      <c r="AZ159" s="258">
        <f t="shared" si="324"/>
        <v>0</v>
      </c>
      <c r="BA159" s="258">
        <f t="shared" si="324"/>
        <v>0</v>
      </c>
      <c r="BB159" s="258">
        <f t="shared" si="324"/>
        <v>0</v>
      </c>
      <c r="BC159" s="258">
        <f t="shared" si="324"/>
        <v>0</v>
      </c>
      <c r="BD159" s="258">
        <f>SUM(BD152:BD158)</f>
        <v>366989.52</v>
      </c>
      <c r="BF159" s="258">
        <f>SUM(BF152:BF158)</f>
        <v>0</v>
      </c>
      <c r="BG159" s="258">
        <f t="shared" ref="BG159:BK159" si="325">SUM(BG152:BG158)</f>
        <v>0</v>
      </c>
      <c r="BH159" s="258">
        <f t="shared" si="325"/>
        <v>0</v>
      </c>
      <c r="BI159" s="258">
        <f t="shared" si="325"/>
        <v>0</v>
      </c>
      <c r="BJ159" s="258">
        <f t="shared" si="325"/>
        <v>0</v>
      </c>
      <c r="BK159" s="258">
        <f t="shared" si="325"/>
        <v>0</v>
      </c>
      <c r="BL159" s="258">
        <f>SUM(BL152:BL158)</f>
        <v>0</v>
      </c>
      <c r="BN159" s="258">
        <f>SUM(BN152:BN158)</f>
        <v>1771019.8200000003</v>
      </c>
      <c r="BO159" s="258">
        <f t="shared" ref="BO159:BS159" si="326">SUM(BO152:BO158)</f>
        <v>2000555</v>
      </c>
      <c r="BP159" s="258">
        <f t="shared" si="326"/>
        <v>0</v>
      </c>
      <c r="BQ159" s="258">
        <f t="shared" si="326"/>
        <v>0</v>
      </c>
      <c r="BR159" s="258">
        <f t="shared" si="326"/>
        <v>0</v>
      </c>
      <c r="BS159" s="258">
        <f t="shared" si="326"/>
        <v>0</v>
      </c>
      <c r="BT159" s="258">
        <f>SUM(BT152:BT158)</f>
        <v>3771574.8200000003</v>
      </c>
    </row>
    <row r="160" spans="1:72" x14ac:dyDescent="0.25">
      <c r="B160" s="259"/>
      <c r="C160" s="259"/>
      <c r="D160" s="259"/>
      <c r="E160" s="259"/>
      <c r="F160" s="259"/>
      <c r="G160" s="259"/>
      <c r="H160" s="259"/>
      <c r="J160" s="259"/>
      <c r="K160" s="259"/>
      <c r="L160" s="259"/>
      <c r="M160" s="259"/>
      <c r="N160" s="259"/>
      <c r="O160" s="259"/>
      <c r="P160" s="259"/>
      <c r="R160" s="259"/>
      <c r="S160" s="259"/>
      <c r="T160" s="259"/>
      <c r="U160" s="259"/>
      <c r="V160" s="259"/>
      <c r="W160" s="259"/>
      <c r="X160" s="259"/>
      <c r="Z160" s="259"/>
      <c r="AA160" s="259"/>
      <c r="AB160" s="259"/>
      <c r="AC160" s="259"/>
      <c r="AD160" s="259"/>
      <c r="AE160" s="259"/>
      <c r="AF160" s="259"/>
      <c r="AH160" s="259"/>
      <c r="AI160" s="259"/>
      <c r="AJ160" s="259"/>
      <c r="AK160" s="259"/>
      <c r="AL160" s="259"/>
      <c r="AM160" s="259"/>
      <c r="AN160" s="259"/>
      <c r="AP160" s="259"/>
      <c r="AQ160" s="259"/>
      <c r="AR160" s="259"/>
      <c r="AS160" s="259"/>
      <c r="AT160" s="259"/>
      <c r="AU160" s="259"/>
      <c r="AV160" s="259"/>
      <c r="AX160" s="259"/>
      <c r="AY160" s="259"/>
      <c r="AZ160" s="259"/>
      <c r="BA160" s="259"/>
      <c r="BB160" s="259"/>
      <c r="BC160" s="259"/>
      <c r="BD160" s="259"/>
      <c r="BF160" s="259"/>
      <c r="BG160" s="259"/>
      <c r="BH160" s="259"/>
      <c r="BI160" s="259"/>
      <c r="BJ160" s="259"/>
      <c r="BK160" s="259"/>
      <c r="BL160" s="259"/>
      <c r="BN160" s="259"/>
      <c r="BO160" s="259"/>
      <c r="BP160" s="259"/>
      <c r="BQ160" s="259"/>
      <c r="BR160" s="259"/>
      <c r="BS160" s="259"/>
      <c r="BT160" s="259"/>
    </row>
    <row r="161" spans="1:72" x14ac:dyDescent="0.25">
      <c r="A161" s="208" t="s">
        <v>335</v>
      </c>
      <c r="B161" s="260" t="s">
        <v>309</v>
      </c>
      <c r="C161" s="260" t="s">
        <v>310</v>
      </c>
      <c r="D161" s="260" t="s">
        <v>311</v>
      </c>
      <c r="E161" s="260" t="str">
        <f>E151</f>
        <v>Other</v>
      </c>
      <c r="F161" s="260" t="s">
        <v>315</v>
      </c>
      <c r="G161" s="260" t="s">
        <v>314</v>
      </c>
      <c r="H161" s="260" t="str">
        <f>H151</f>
        <v>Horizon</v>
      </c>
      <c r="J161" s="260" t="s">
        <v>309</v>
      </c>
      <c r="K161" s="260" t="s">
        <v>310</v>
      </c>
      <c r="L161" s="260" t="s">
        <v>311</v>
      </c>
      <c r="M161" s="260" t="str">
        <f>M151</f>
        <v>Other</v>
      </c>
      <c r="N161" s="260" t="s">
        <v>315</v>
      </c>
      <c r="O161" s="260" t="s">
        <v>314</v>
      </c>
      <c r="P161" s="260" t="str">
        <f>P151</f>
        <v>Cadence</v>
      </c>
      <c r="R161" s="260" t="s">
        <v>309</v>
      </c>
      <c r="S161" s="260" t="s">
        <v>310</v>
      </c>
      <c r="T161" s="260" t="s">
        <v>311</v>
      </c>
      <c r="U161" s="260" t="str">
        <f>U151</f>
        <v>Other</v>
      </c>
      <c r="V161" s="260" t="s">
        <v>315</v>
      </c>
      <c r="W161" s="260" t="s">
        <v>314</v>
      </c>
      <c r="X161" s="260" t="str">
        <f>X151</f>
        <v>St. Rose</v>
      </c>
      <c r="Z161" s="260" t="s">
        <v>309</v>
      </c>
      <c r="AA161" s="260" t="s">
        <v>310</v>
      </c>
      <c r="AB161" s="260" t="s">
        <v>311</v>
      </c>
      <c r="AC161" s="260" t="str">
        <f>AC151</f>
        <v>Other</v>
      </c>
      <c r="AD161" s="260" t="s">
        <v>315</v>
      </c>
      <c r="AE161" s="260" t="s">
        <v>314</v>
      </c>
      <c r="AF161" s="260" t="str">
        <f>AF151</f>
        <v>Inspirada</v>
      </c>
      <c r="AH161" s="260" t="s">
        <v>309</v>
      </c>
      <c r="AI161" s="260" t="s">
        <v>310</v>
      </c>
      <c r="AJ161" s="260" t="s">
        <v>311</v>
      </c>
      <c r="AK161" s="260" t="str">
        <f>AK151</f>
        <v>Other</v>
      </c>
      <c r="AL161" s="260" t="s">
        <v>315</v>
      </c>
      <c r="AM161" s="260" t="s">
        <v>314</v>
      </c>
      <c r="AN161" s="260" t="str">
        <f>AN151</f>
        <v>Sloan</v>
      </c>
      <c r="AP161" s="260" t="s">
        <v>309</v>
      </c>
      <c r="AQ161" s="260" t="s">
        <v>310</v>
      </c>
      <c r="AR161" s="260" t="s">
        <v>311</v>
      </c>
      <c r="AS161" s="260" t="str">
        <f>AS151</f>
        <v>Other</v>
      </c>
      <c r="AT161" s="260" t="s">
        <v>315</v>
      </c>
      <c r="AU161" s="260" t="s">
        <v>314</v>
      </c>
      <c r="AV161" s="260" t="str">
        <f>AV151</f>
        <v>Springs</v>
      </c>
      <c r="AX161" s="260" t="s">
        <v>309</v>
      </c>
      <c r="AY161" s="260" t="s">
        <v>310</v>
      </c>
      <c r="AZ161" s="260" t="s">
        <v>311</v>
      </c>
      <c r="BA161" s="260" t="str">
        <f>BA151</f>
        <v>Other</v>
      </c>
      <c r="BB161" s="260" t="s">
        <v>315</v>
      </c>
      <c r="BC161" s="260" t="s">
        <v>314</v>
      </c>
      <c r="BD161" s="260" t="str">
        <f>BD151</f>
        <v>Virtual</v>
      </c>
      <c r="BF161" s="260" t="s">
        <v>309</v>
      </c>
      <c r="BG161" s="260" t="s">
        <v>310</v>
      </c>
      <c r="BH161" s="260" t="s">
        <v>311</v>
      </c>
      <c r="BI161" s="260" t="str">
        <f>BI151</f>
        <v>Other</v>
      </c>
      <c r="BJ161" s="260" t="s">
        <v>315</v>
      </c>
      <c r="BK161" s="260" t="s">
        <v>314</v>
      </c>
      <c r="BL161" s="260" t="str">
        <f>BL151</f>
        <v>Central</v>
      </c>
      <c r="BN161" s="260" t="s">
        <v>309</v>
      </c>
      <c r="BO161" s="260" t="s">
        <v>310</v>
      </c>
      <c r="BP161" s="260" t="s">
        <v>311</v>
      </c>
      <c r="BQ161" s="260" t="str">
        <f>BQ151</f>
        <v>Other</v>
      </c>
      <c r="BR161" s="260" t="s">
        <v>315</v>
      </c>
      <c r="BS161" s="260" t="s">
        <v>314</v>
      </c>
      <c r="BT161" s="260" t="str">
        <f>BT151</f>
        <v>System</v>
      </c>
    </row>
    <row r="162" spans="1:72" x14ac:dyDescent="0.25">
      <c r="A162" s="214" t="s">
        <v>262</v>
      </c>
      <c r="B162" s="257">
        <f>5000+500</f>
        <v>5500</v>
      </c>
      <c r="C162" s="257"/>
      <c r="D162" s="257"/>
      <c r="E162" s="257"/>
      <c r="F162" s="257"/>
      <c r="G162" s="257"/>
      <c r="H162" s="241">
        <f>SUM(B162:G162)</f>
        <v>5500</v>
      </c>
      <c r="J162" s="257">
        <f>5000+500</f>
        <v>5500</v>
      </c>
      <c r="K162" s="257"/>
      <c r="L162" s="257"/>
      <c r="M162" s="257"/>
      <c r="N162" s="257"/>
      <c r="O162" s="257"/>
      <c r="P162" s="241">
        <f>SUM(J162:O162)</f>
        <v>5500</v>
      </c>
      <c r="R162" s="257">
        <f>5000+500</f>
        <v>5500</v>
      </c>
      <c r="S162" s="257"/>
      <c r="T162" s="257"/>
      <c r="U162" s="257"/>
      <c r="V162" s="257"/>
      <c r="W162" s="257"/>
      <c r="X162" s="241">
        <f>SUM(R162:W162)</f>
        <v>5500</v>
      </c>
      <c r="Z162" s="257">
        <f>5000+500</f>
        <v>5500</v>
      </c>
      <c r="AA162" s="257"/>
      <c r="AB162" s="257"/>
      <c r="AC162" s="257"/>
      <c r="AD162" s="257"/>
      <c r="AE162" s="257"/>
      <c r="AF162" s="241">
        <f>SUM(Z162:AE162)</f>
        <v>5500</v>
      </c>
      <c r="AH162" s="257">
        <f>5000+500</f>
        <v>5500</v>
      </c>
      <c r="AI162" s="257"/>
      <c r="AJ162" s="257"/>
      <c r="AK162" s="257"/>
      <c r="AL162" s="257"/>
      <c r="AM162" s="257"/>
      <c r="AN162" s="241">
        <f>SUM(AH162:AM162)</f>
        <v>5500</v>
      </c>
      <c r="AP162" s="257">
        <v>0</v>
      </c>
      <c r="AQ162" s="257"/>
      <c r="AR162" s="257"/>
      <c r="AS162" s="257"/>
      <c r="AT162" s="257"/>
      <c r="AU162" s="257"/>
      <c r="AV162" s="241">
        <f>SUM(AP162:AU162)</f>
        <v>0</v>
      </c>
      <c r="AX162" s="257">
        <v>0</v>
      </c>
      <c r="AY162" s="257"/>
      <c r="AZ162" s="257"/>
      <c r="BA162" s="257"/>
      <c r="BB162" s="257"/>
      <c r="BC162" s="257"/>
      <c r="BD162" s="241">
        <f>SUM(AX162:BC162)</f>
        <v>0</v>
      </c>
      <c r="BF162" s="257"/>
      <c r="BG162" s="257"/>
      <c r="BH162" s="257"/>
      <c r="BI162" s="257"/>
      <c r="BJ162" s="257"/>
      <c r="BK162" s="257"/>
      <c r="BL162" s="241">
        <f>SUM(BF162:BK162)</f>
        <v>0</v>
      </c>
      <c r="BN162" s="241">
        <f>B162+J162+R162+Z162+AH162+AP162+AX162+BF162</f>
        <v>27500</v>
      </c>
      <c r="BO162" s="241">
        <f t="shared" ref="BO162:BS170" si="327">C162+K162+S162+AA162+AI162+AQ162+AY162+BG162</f>
        <v>0</v>
      </c>
      <c r="BP162" s="241">
        <f t="shared" si="327"/>
        <v>0</v>
      </c>
      <c r="BQ162" s="241">
        <f t="shared" si="327"/>
        <v>0</v>
      </c>
      <c r="BR162" s="241">
        <f t="shared" si="327"/>
        <v>0</v>
      </c>
      <c r="BS162" s="241">
        <f t="shared" si="327"/>
        <v>0</v>
      </c>
      <c r="BT162" s="241">
        <f>SUM(BN162:BS162)</f>
        <v>27500</v>
      </c>
    </row>
    <row r="163" spans="1:72" x14ac:dyDescent="0.25">
      <c r="A163" s="211" t="s">
        <v>264</v>
      </c>
      <c r="B163" s="244"/>
      <c r="C163" s="244"/>
      <c r="D163" s="244"/>
      <c r="E163" s="244"/>
      <c r="F163" s="244"/>
      <c r="G163" s="244"/>
      <c r="H163" s="241">
        <f t="shared" ref="H163:H170" si="328">SUM(B163:G163)</f>
        <v>0</v>
      </c>
      <c r="J163" s="244"/>
      <c r="K163" s="244"/>
      <c r="L163" s="244"/>
      <c r="M163" s="244"/>
      <c r="N163" s="244"/>
      <c r="O163" s="244"/>
      <c r="P163" s="241">
        <f t="shared" ref="P163:P170" si="329">SUM(J163:O163)</f>
        <v>0</v>
      </c>
      <c r="R163" s="242">
        <f>32697*1.04*1.04</f>
        <v>35365.075200000007</v>
      </c>
      <c r="S163" s="244"/>
      <c r="T163" s="244"/>
      <c r="U163" s="244"/>
      <c r="V163" s="244"/>
      <c r="W163" s="244"/>
      <c r="X163" s="241">
        <f t="shared" ref="X163:X170" si="330">SUM(R163:W163)</f>
        <v>35365.075200000007</v>
      </c>
      <c r="Z163" s="244"/>
      <c r="AA163" s="244"/>
      <c r="AB163" s="244"/>
      <c r="AC163" s="244"/>
      <c r="AD163" s="244"/>
      <c r="AE163" s="244"/>
      <c r="AF163" s="241">
        <f t="shared" ref="AF163:AF170" si="331">SUM(Z163:AE163)</f>
        <v>0</v>
      </c>
      <c r="AH163" s="244"/>
      <c r="AI163" s="244"/>
      <c r="AJ163" s="244"/>
      <c r="AK163" s="244"/>
      <c r="AL163" s="244"/>
      <c r="AM163" s="244"/>
      <c r="AN163" s="241">
        <f t="shared" ref="AN163:AN170" si="332">SUM(AH163:AM163)</f>
        <v>0</v>
      </c>
      <c r="AP163" s="244"/>
      <c r="AQ163" s="244"/>
      <c r="AR163" s="244"/>
      <c r="AS163" s="244"/>
      <c r="AT163" s="244"/>
      <c r="AU163" s="244"/>
      <c r="AV163" s="241">
        <f t="shared" ref="AV163:AV170" si="333">SUM(AP163:AU163)</f>
        <v>0</v>
      </c>
      <c r="AX163" s="244">
        <f>800*AX17</f>
        <v>145600</v>
      </c>
      <c r="AY163" s="244"/>
      <c r="AZ163" s="244"/>
      <c r="BA163" s="244"/>
      <c r="BB163" s="244"/>
      <c r="BC163" s="244"/>
      <c r="BD163" s="241">
        <f t="shared" ref="BD163:BD170" si="334">SUM(AX163:BC163)</f>
        <v>145600</v>
      </c>
      <c r="BF163" s="244"/>
      <c r="BG163" s="244"/>
      <c r="BH163" s="244"/>
      <c r="BI163" s="244"/>
      <c r="BJ163" s="244"/>
      <c r="BK163" s="244"/>
      <c r="BL163" s="241">
        <f t="shared" ref="BL163:BL170" si="335">SUM(BF163:BK163)</f>
        <v>0</v>
      </c>
      <c r="BN163" s="241">
        <f t="shared" ref="BN163:BN170" si="336">B163+J163+R163+Z163+AH163+AP163+AX163+BF163</f>
        <v>180965.07520000002</v>
      </c>
      <c r="BO163" s="241">
        <f t="shared" si="327"/>
        <v>0</v>
      </c>
      <c r="BP163" s="241">
        <f t="shared" si="327"/>
        <v>0</v>
      </c>
      <c r="BQ163" s="241">
        <f t="shared" si="327"/>
        <v>0</v>
      </c>
      <c r="BR163" s="241">
        <f t="shared" si="327"/>
        <v>0</v>
      </c>
      <c r="BS163" s="241">
        <f t="shared" si="327"/>
        <v>0</v>
      </c>
      <c r="BT163" s="241">
        <f t="shared" ref="BT163:BT170" si="337">SUM(BN163:BS163)</f>
        <v>180965.07520000002</v>
      </c>
    </row>
    <row r="164" spans="1:72" x14ac:dyDescent="0.25">
      <c r="A164" s="211" t="s">
        <v>268</v>
      </c>
      <c r="B164" s="244">
        <f>498.66*B17</f>
        <v>462257.82</v>
      </c>
      <c r="C164" s="244"/>
      <c r="D164" s="244"/>
      <c r="E164" s="244"/>
      <c r="F164" s="244"/>
      <c r="G164" s="244"/>
      <c r="H164" s="241">
        <f t="shared" si="328"/>
        <v>462257.82</v>
      </c>
      <c r="J164" s="244">
        <f>498.66*J17</f>
        <v>1253631.24</v>
      </c>
      <c r="K164" s="244"/>
      <c r="L164" s="244"/>
      <c r="M164" s="244"/>
      <c r="N164" s="244"/>
      <c r="O164" s="244"/>
      <c r="P164" s="241">
        <f t="shared" si="329"/>
        <v>1253631.24</v>
      </c>
      <c r="R164" s="244">
        <f>498.66*R17</f>
        <v>513619.80000000005</v>
      </c>
      <c r="S164" s="244"/>
      <c r="T164" s="244"/>
      <c r="U164" s="244"/>
      <c r="V164" s="244"/>
      <c r="W164" s="244"/>
      <c r="X164" s="241">
        <f t="shared" si="330"/>
        <v>513619.80000000005</v>
      </c>
      <c r="Z164" s="244">
        <f>498.66*Z17</f>
        <v>597394.68000000005</v>
      </c>
      <c r="AA164" s="244"/>
      <c r="AB164" s="244"/>
      <c r="AC164" s="244"/>
      <c r="AD164" s="244"/>
      <c r="AE164" s="244"/>
      <c r="AF164" s="241">
        <f t="shared" si="331"/>
        <v>597394.68000000005</v>
      </c>
      <c r="AH164" s="244">
        <f>498.66*AH17</f>
        <v>1245652.6800000002</v>
      </c>
      <c r="AI164" s="244"/>
      <c r="AJ164" s="244"/>
      <c r="AK164" s="244"/>
      <c r="AL164" s="244"/>
      <c r="AM164" s="244"/>
      <c r="AN164" s="241">
        <f t="shared" si="332"/>
        <v>1245652.6800000002</v>
      </c>
      <c r="AP164" s="244">
        <f>498.66*AP17</f>
        <v>343078.08</v>
      </c>
      <c r="AQ164" s="244"/>
      <c r="AR164" s="244"/>
      <c r="AS164" s="244"/>
      <c r="AT164" s="244"/>
      <c r="AU164" s="244"/>
      <c r="AV164" s="241">
        <f t="shared" si="333"/>
        <v>343078.08</v>
      </c>
      <c r="AX164" s="244">
        <f>498.66*AX17</f>
        <v>90756.12000000001</v>
      </c>
      <c r="AY164" s="244"/>
      <c r="AZ164" s="244"/>
      <c r="BA164" s="244"/>
      <c r="BB164" s="244"/>
      <c r="BC164" s="244"/>
      <c r="BD164" s="241">
        <f t="shared" si="334"/>
        <v>90756.12000000001</v>
      </c>
      <c r="BF164" s="244"/>
      <c r="BG164" s="244"/>
      <c r="BH164" s="244"/>
      <c r="BI164" s="244"/>
      <c r="BJ164" s="244"/>
      <c r="BK164" s="244"/>
      <c r="BL164" s="241">
        <f t="shared" si="335"/>
        <v>0</v>
      </c>
      <c r="BN164" s="241">
        <f t="shared" si="336"/>
        <v>4506390.4200000009</v>
      </c>
      <c r="BO164" s="241">
        <f t="shared" si="327"/>
        <v>0</v>
      </c>
      <c r="BP164" s="241">
        <f t="shared" si="327"/>
        <v>0</v>
      </c>
      <c r="BQ164" s="241">
        <f t="shared" si="327"/>
        <v>0</v>
      </c>
      <c r="BR164" s="241">
        <f t="shared" si="327"/>
        <v>0</v>
      </c>
      <c r="BS164" s="241">
        <f t="shared" si="327"/>
        <v>0</v>
      </c>
      <c r="BT164" s="241">
        <f t="shared" si="337"/>
        <v>4506390.4200000009</v>
      </c>
    </row>
    <row r="165" spans="1:72" x14ac:dyDescent="0.25">
      <c r="A165" s="211" t="s">
        <v>269</v>
      </c>
      <c r="B165" s="242">
        <f>(2500*12)*1.02</f>
        <v>30600</v>
      </c>
      <c r="C165" s="244"/>
      <c r="D165" s="244"/>
      <c r="E165" s="244"/>
      <c r="F165" s="244"/>
      <c r="G165" s="244"/>
      <c r="H165" s="241">
        <f t="shared" si="328"/>
        <v>30600</v>
      </c>
      <c r="J165" s="242">
        <f>(5700*12)*1.03</f>
        <v>70452</v>
      </c>
      <c r="K165" s="244"/>
      <c r="L165" s="244"/>
      <c r="M165" s="244"/>
      <c r="N165" s="244"/>
      <c r="O165" s="244"/>
      <c r="P165" s="241">
        <f t="shared" si="329"/>
        <v>70452</v>
      </c>
      <c r="R165" s="242">
        <f>(2600*12)*1.03</f>
        <v>32136</v>
      </c>
      <c r="S165" s="244"/>
      <c r="T165" s="244"/>
      <c r="U165" s="244"/>
      <c r="V165" s="244"/>
      <c r="W165" s="244"/>
      <c r="X165" s="241">
        <f t="shared" si="330"/>
        <v>32136</v>
      </c>
      <c r="Z165" s="242">
        <f>(3000*12)*1.02</f>
        <v>36720</v>
      </c>
      <c r="AA165" s="244"/>
      <c r="AB165" s="244"/>
      <c r="AC165" s="244"/>
      <c r="AD165" s="244"/>
      <c r="AE165" s="244"/>
      <c r="AF165" s="241">
        <f t="shared" si="331"/>
        <v>36720</v>
      </c>
      <c r="AH165" s="242">
        <f>(5700*12)*1.03</f>
        <v>70452</v>
      </c>
      <c r="AI165" s="244"/>
      <c r="AJ165" s="244"/>
      <c r="AK165" s="244"/>
      <c r="AL165" s="244"/>
      <c r="AM165" s="244"/>
      <c r="AN165" s="241">
        <f t="shared" si="332"/>
        <v>70452</v>
      </c>
      <c r="AP165" s="242">
        <v>20000</v>
      </c>
      <c r="AQ165" s="244"/>
      <c r="AR165" s="244"/>
      <c r="AS165" s="244"/>
      <c r="AT165" s="244"/>
      <c r="AU165" s="244"/>
      <c r="AV165" s="241">
        <f t="shared" si="333"/>
        <v>20000</v>
      </c>
      <c r="AX165" s="280">
        <f>5500+250</f>
        <v>5750</v>
      </c>
      <c r="AY165" s="244"/>
      <c r="AZ165" s="244"/>
      <c r="BA165" s="244"/>
      <c r="BB165" s="244"/>
      <c r="BC165" s="244"/>
      <c r="BD165" s="241">
        <f t="shared" si="334"/>
        <v>5750</v>
      </c>
      <c r="BF165" s="242">
        <v>5500</v>
      </c>
      <c r="BG165" s="244"/>
      <c r="BH165" s="244"/>
      <c r="BI165" s="244"/>
      <c r="BJ165" s="244"/>
      <c r="BK165" s="244"/>
      <c r="BL165" s="241">
        <f t="shared" si="335"/>
        <v>5500</v>
      </c>
      <c r="BN165" s="241">
        <f t="shared" si="336"/>
        <v>271610</v>
      </c>
      <c r="BO165" s="241">
        <f t="shared" si="327"/>
        <v>0</v>
      </c>
      <c r="BP165" s="241">
        <f t="shared" si="327"/>
        <v>0</v>
      </c>
      <c r="BQ165" s="241">
        <f t="shared" si="327"/>
        <v>0</v>
      </c>
      <c r="BR165" s="241">
        <f t="shared" si="327"/>
        <v>0</v>
      </c>
      <c r="BS165" s="241">
        <f t="shared" si="327"/>
        <v>0</v>
      </c>
      <c r="BT165" s="241">
        <f t="shared" si="337"/>
        <v>271610</v>
      </c>
    </row>
    <row r="166" spans="1:72" x14ac:dyDescent="0.25">
      <c r="A166" s="211" t="s">
        <v>270</v>
      </c>
      <c r="B166" s="244">
        <f>26500*1.03</f>
        <v>27295</v>
      </c>
      <c r="C166" s="244"/>
      <c r="D166" s="244"/>
      <c r="E166" s="244"/>
      <c r="F166" s="244"/>
      <c r="G166" s="244"/>
      <c r="H166" s="241">
        <f t="shared" si="328"/>
        <v>27295</v>
      </c>
      <c r="J166" s="244">
        <f>26500*1.04</f>
        <v>27560</v>
      </c>
      <c r="K166" s="244"/>
      <c r="L166" s="244"/>
      <c r="M166" s="244"/>
      <c r="N166" s="244"/>
      <c r="O166" s="244"/>
      <c r="P166" s="241">
        <f t="shared" si="329"/>
        <v>27560</v>
      </c>
      <c r="R166" s="244">
        <f>26500*1.03</f>
        <v>27295</v>
      </c>
      <c r="S166" s="244"/>
      <c r="T166" s="244"/>
      <c r="U166" s="244"/>
      <c r="V166" s="244"/>
      <c r="W166" s="244"/>
      <c r="X166" s="241">
        <f t="shared" si="330"/>
        <v>27295</v>
      </c>
      <c r="Z166" s="244">
        <f>26500*1.03</f>
        <v>27295</v>
      </c>
      <c r="AA166" s="244"/>
      <c r="AB166" s="244"/>
      <c r="AC166" s="244"/>
      <c r="AD166" s="244"/>
      <c r="AE166" s="244"/>
      <c r="AF166" s="241">
        <f t="shared" si="331"/>
        <v>27295</v>
      </c>
      <c r="AH166" s="244">
        <f>26500*1.03</f>
        <v>27295</v>
      </c>
      <c r="AI166" s="244"/>
      <c r="AJ166" s="244"/>
      <c r="AK166" s="244"/>
      <c r="AL166" s="244"/>
      <c r="AM166" s="244"/>
      <c r="AN166" s="241">
        <f t="shared" si="332"/>
        <v>27295</v>
      </c>
      <c r="AP166" s="244">
        <f>5000*1.03</f>
        <v>5150</v>
      </c>
      <c r="AQ166" s="244"/>
      <c r="AR166" s="244"/>
      <c r="AS166" s="244"/>
      <c r="AT166" s="244"/>
      <c r="AU166" s="244"/>
      <c r="AV166" s="241">
        <f t="shared" si="333"/>
        <v>5150</v>
      </c>
      <c r="AX166" s="244">
        <f>26500*1.03</f>
        <v>27295</v>
      </c>
      <c r="AY166" s="244"/>
      <c r="AZ166" s="244"/>
      <c r="BA166" s="244"/>
      <c r="BB166" s="244"/>
      <c r="BC166" s="244"/>
      <c r="BD166" s="241">
        <f t="shared" si="334"/>
        <v>27295</v>
      </c>
      <c r="BF166" s="244"/>
      <c r="BG166" s="244"/>
      <c r="BH166" s="244"/>
      <c r="BI166" s="244"/>
      <c r="BJ166" s="244"/>
      <c r="BK166" s="244"/>
      <c r="BL166" s="241">
        <f t="shared" si="335"/>
        <v>0</v>
      </c>
      <c r="BN166" s="241">
        <f t="shared" si="336"/>
        <v>169185</v>
      </c>
      <c r="BO166" s="241">
        <f t="shared" si="327"/>
        <v>0</v>
      </c>
      <c r="BP166" s="241">
        <f t="shared" si="327"/>
        <v>0</v>
      </c>
      <c r="BQ166" s="241">
        <f t="shared" si="327"/>
        <v>0</v>
      </c>
      <c r="BR166" s="241">
        <f t="shared" si="327"/>
        <v>0</v>
      </c>
      <c r="BS166" s="241">
        <f t="shared" si="327"/>
        <v>0</v>
      </c>
      <c r="BT166" s="241">
        <f t="shared" si="337"/>
        <v>169185</v>
      </c>
    </row>
    <row r="167" spans="1:72" x14ac:dyDescent="0.25">
      <c r="A167" s="211" t="s">
        <v>271</v>
      </c>
      <c r="B167" s="244">
        <f>22500*1.05</f>
        <v>23625</v>
      </c>
      <c r="C167" s="244"/>
      <c r="D167" s="244"/>
      <c r="E167" s="244"/>
      <c r="F167" s="244"/>
      <c r="G167" s="244"/>
      <c r="H167" s="241">
        <f t="shared" si="328"/>
        <v>23625</v>
      </c>
      <c r="J167" s="244">
        <f>40000*1.05</f>
        <v>42000</v>
      </c>
      <c r="K167" s="244"/>
      <c r="L167" s="244"/>
      <c r="M167" s="244"/>
      <c r="N167" s="244"/>
      <c r="O167" s="244"/>
      <c r="P167" s="241">
        <f t="shared" si="329"/>
        <v>42000</v>
      </c>
      <c r="R167" s="244">
        <f>27500+1000</f>
        <v>28500</v>
      </c>
      <c r="S167" s="244"/>
      <c r="T167" s="244"/>
      <c r="U167" s="244"/>
      <c r="V167" s="244"/>
      <c r="W167" s="244"/>
      <c r="X167" s="241">
        <f t="shared" si="330"/>
        <v>28500</v>
      </c>
      <c r="Z167" s="244">
        <f>30000+1000</f>
        <v>31000</v>
      </c>
      <c r="AA167" s="244"/>
      <c r="AB167" s="244"/>
      <c r="AC167" s="244"/>
      <c r="AD167" s="244"/>
      <c r="AE167" s="244"/>
      <c r="AF167" s="241">
        <f t="shared" si="331"/>
        <v>31000</v>
      </c>
      <c r="AH167" s="244">
        <f>40000+1000</f>
        <v>41000</v>
      </c>
      <c r="AI167" s="244"/>
      <c r="AJ167" s="244"/>
      <c r="AK167" s="244"/>
      <c r="AL167" s="244"/>
      <c r="AM167" s="244"/>
      <c r="AN167" s="241">
        <f t="shared" si="332"/>
        <v>41000</v>
      </c>
      <c r="AP167" s="244">
        <v>10000</v>
      </c>
      <c r="AQ167" s="244"/>
      <c r="AR167" s="244"/>
      <c r="AS167" s="244"/>
      <c r="AT167" s="244"/>
      <c r="AU167" s="244"/>
      <c r="AV167" s="241">
        <f t="shared" si="333"/>
        <v>10000</v>
      </c>
      <c r="AX167" s="244">
        <f>20000+1000</f>
        <v>21000</v>
      </c>
      <c r="AY167" s="244"/>
      <c r="AZ167" s="244"/>
      <c r="BA167" s="244"/>
      <c r="BB167" s="244"/>
      <c r="BC167" s="244"/>
      <c r="BD167" s="241">
        <f t="shared" si="334"/>
        <v>21000</v>
      </c>
      <c r="BF167" s="244"/>
      <c r="BG167" s="244"/>
      <c r="BH167" s="244"/>
      <c r="BI167" s="244"/>
      <c r="BJ167" s="244"/>
      <c r="BK167" s="244"/>
      <c r="BL167" s="241">
        <f t="shared" si="335"/>
        <v>0</v>
      </c>
      <c r="BN167" s="241">
        <f t="shared" si="336"/>
        <v>197125</v>
      </c>
      <c r="BO167" s="241">
        <f t="shared" si="327"/>
        <v>0</v>
      </c>
      <c r="BP167" s="241">
        <f t="shared" si="327"/>
        <v>0</v>
      </c>
      <c r="BQ167" s="241">
        <f t="shared" si="327"/>
        <v>0</v>
      </c>
      <c r="BR167" s="241">
        <f t="shared" si="327"/>
        <v>0</v>
      </c>
      <c r="BS167" s="241">
        <f t="shared" si="327"/>
        <v>0</v>
      </c>
      <c r="BT167" s="241">
        <f t="shared" si="337"/>
        <v>197125</v>
      </c>
    </row>
    <row r="168" spans="1:72" x14ac:dyDescent="0.25">
      <c r="A168" s="211" t="s">
        <v>272</v>
      </c>
      <c r="B168" s="244">
        <f>(49*B17)+(70*12)</f>
        <v>46263</v>
      </c>
      <c r="C168" s="244"/>
      <c r="D168" s="244"/>
      <c r="E168" s="244"/>
      <c r="F168" s="244"/>
      <c r="G168" s="244"/>
      <c r="H168" s="241">
        <f t="shared" si="328"/>
        <v>46263</v>
      </c>
      <c r="J168" s="244">
        <f>(49*J17)+(70*12)</f>
        <v>124026</v>
      </c>
      <c r="K168" s="244"/>
      <c r="L168" s="244"/>
      <c r="M168" s="244"/>
      <c r="N168" s="244"/>
      <c r="O168" s="244"/>
      <c r="P168" s="241">
        <f t="shared" si="329"/>
        <v>124026</v>
      </c>
      <c r="R168" s="244">
        <f>(49*R17)+(65*12)</f>
        <v>51250</v>
      </c>
      <c r="S168" s="244"/>
      <c r="T168" s="244"/>
      <c r="U168" s="244"/>
      <c r="V168" s="244"/>
      <c r="W168" s="244"/>
      <c r="X168" s="241">
        <f t="shared" si="330"/>
        <v>51250</v>
      </c>
      <c r="Z168" s="244">
        <f>(49*Z17)+(67*12)</f>
        <v>59506</v>
      </c>
      <c r="AA168" s="244"/>
      <c r="AB168" s="244"/>
      <c r="AC168" s="244"/>
      <c r="AD168" s="244"/>
      <c r="AE168" s="244"/>
      <c r="AF168" s="241">
        <f t="shared" si="331"/>
        <v>59506</v>
      </c>
      <c r="AH168" s="244">
        <f>(49*AH17)+(67*12)</f>
        <v>123206</v>
      </c>
      <c r="AI168" s="244"/>
      <c r="AJ168" s="244"/>
      <c r="AK168" s="244"/>
      <c r="AL168" s="244"/>
      <c r="AM168" s="244"/>
      <c r="AN168" s="241">
        <f t="shared" si="332"/>
        <v>123206</v>
      </c>
      <c r="AP168" s="244">
        <f>(49*AP17)+(67*12)</f>
        <v>34516</v>
      </c>
      <c r="AQ168" s="244"/>
      <c r="AR168" s="244"/>
      <c r="AS168" s="244"/>
      <c r="AT168" s="244"/>
      <c r="AU168" s="244"/>
      <c r="AV168" s="241">
        <f t="shared" si="333"/>
        <v>34516</v>
      </c>
      <c r="AX168" s="244">
        <f>(49*AX17)+(67*12)</f>
        <v>9722</v>
      </c>
      <c r="AY168" s="244"/>
      <c r="AZ168" s="244"/>
      <c r="BA168" s="244"/>
      <c r="BB168" s="244"/>
      <c r="BC168" s="244"/>
      <c r="BD168" s="241">
        <f t="shared" si="334"/>
        <v>9722</v>
      </c>
      <c r="BF168" s="244"/>
      <c r="BG168" s="244"/>
      <c r="BH168" s="244"/>
      <c r="BI168" s="244"/>
      <c r="BJ168" s="244"/>
      <c r="BK168" s="244"/>
      <c r="BL168" s="241">
        <f t="shared" si="335"/>
        <v>0</v>
      </c>
      <c r="BN168" s="241">
        <f t="shared" si="336"/>
        <v>448489</v>
      </c>
      <c r="BO168" s="241">
        <f t="shared" si="327"/>
        <v>0</v>
      </c>
      <c r="BP168" s="241">
        <f t="shared" si="327"/>
        <v>0</v>
      </c>
      <c r="BQ168" s="241">
        <f t="shared" si="327"/>
        <v>0</v>
      </c>
      <c r="BR168" s="241">
        <f t="shared" si="327"/>
        <v>0</v>
      </c>
      <c r="BS168" s="241">
        <f t="shared" si="327"/>
        <v>0</v>
      </c>
      <c r="BT168" s="241">
        <f t="shared" si="337"/>
        <v>448489</v>
      </c>
    </row>
    <row r="169" spans="1:72" x14ac:dyDescent="0.25">
      <c r="A169" s="211" t="s">
        <v>273</v>
      </c>
      <c r="B169" s="244">
        <v>21000</v>
      </c>
      <c r="C169" s="244"/>
      <c r="D169" s="244"/>
      <c r="E169" s="244"/>
      <c r="F169" s="244"/>
      <c r="G169" s="244"/>
      <c r="H169" s="241">
        <f t="shared" si="328"/>
        <v>21000</v>
      </c>
      <c r="J169" s="244">
        <v>35000</v>
      </c>
      <c r="K169" s="244"/>
      <c r="L169" s="244"/>
      <c r="M169" s="244"/>
      <c r="N169" s="244"/>
      <c r="O169" s="244"/>
      <c r="P169" s="241">
        <f t="shared" si="329"/>
        <v>35000</v>
      </c>
      <c r="R169" s="244">
        <v>26000</v>
      </c>
      <c r="S169" s="244"/>
      <c r="T169" s="244"/>
      <c r="U169" s="244"/>
      <c r="V169" s="244"/>
      <c r="W169" s="244"/>
      <c r="X169" s="241">
        <f t="shared" si="330"/>
        <v>26000</v>
      </c>
      <c r="Z169" s="244">
        <v>28000</v>
      </c>
      <c r="AA169" s="244"/>
      <c r="AB169" s="244"/>
      <c r="AC169" s="244"/>
      <c r="AD169" s="244"/>
      <c r="AE169" s="244"/>
      <c r="AF169" s="241">
        <f t="shared" si="331"/>
        <v>28000</v>
      </c>
      <c r="AH169" s="244">
        <v>40000</v>
      </c>
      <c r="AI169" s="244"/>
      <c r="AJ169" s="244"/>
      <c r="AK169" s="244"/>
      <c r="AL169" s="244"/>
      <c r="AM169" s="244"/>
      <c r="AN169" s="241">
        <f t="shared" si="332"/>
        <v>40000</v>
      </c>
      <c r="AP169" s="244">
        <v>25000</v>
      </c>
      <c r="AQ169" s="244"/>
      <c r="AR169" s="244"/>
      <c r="AS169" s="244"/>
      <c r="AT169" s="244"/>
      <c r="AU169" s="244"/>
      <c r="AV169" s="241">
        <f t="shared" si="333"/>
        <v>25000</v>
      </c>
      <c r="AX169" s="244">
        <v>15500</v>
      </c>
      <c r="AY169" s="244"/>
      <c r="AZ169" s="244"/>
      <c r="BA169" s="244"/>
      <c r="BB169" s="244"/>
      <c r="BC169" s="244"/>
      <c r="BD169" s="241">
        <f t="shared" si="334"/>
        <v>15500</v>
      </c>
      <c r="BF169" s="244"/>
      <c r="BG169" s="244"/>
      <c r="BH169" s="244"/>
      <c r="BI169" s="244"/>
      <c r="BJ169" s="244"/>
      <c r="BK169" s="244"/>
      <c r="BL169" s="241">
        <f t="shared" si="335"/>
        <v>0</v>
      </c>
      <c r="BN169" s="241">
        <f t="shared" si="336"/>
        <v>190500</v>
      </c>
      <c r="BO169" s="241">
        <f t="shared" si="327"/>
        <v>0</v>
      </c>
      <c r="BP169" s="241">
        <f t="shared" si="327"/>
        <v>0</v>
      </c>
      <c r="BQ169" s="241">
        <f t="shared" si="327"/>
        <v>0</v>
      </c>
      <c r="BR169" s="241">
        <f t="shared" si="327"/>
        <v>0</v>
      </c>
      <c r="BS169" s="241">
        <f t="shared" si="327"/>
        <v>0</v>
      </c>
      <c r="BT169" s="241">
        <f t="shared" si="337"/>
        <v>190500</v>
      </c>
    </row>
    <row r="170" spans="1:72" x14ac:dyDescent="0.25">
      <c r="A170" s="212" t="s">
        <v>274</v>
      </c>
      <c r="B170" s="245">
        <f>B68*0.0125</f>
        <v>109919.02500000001</v>
      </c>
      <c r="C170" s="245"/>
      <c r="D170" s="245"/>
      <c r="E170" s="245"/>
      <c r="F170" s="245"/>
      <c r="G170" s="245"/>
      <c r="H170" s="241">
        <f t="shared" si="328"/>
        <v>109919.02500000001</v>
      </c>
      <c r="J170" s="245">
        <f>J68*0.0125</f>
        <v>298097.55</v>
      </c>
      <c r="K170" s="245"/>
      <c r="L170" s="245"/>
      <c r="M170" s="245"/>
      <c r="N170" s="245"/>
      <c r="O170" s="245"/>
      <c r="P170" s="241">
        <f t="shared" si="329"/>
        <v>298097.55</v>
      </c>
      <c r="R170" s="245">
        <f>R68*0.0125</f>
        <v>122132.25</v>
      </c>
      <c r="S170" s="245"/>
      <c r="T170" s="245"/>
      <c r="U170" s="245"/>
      <c r="V170" s="245"/>
      <c r="W170" s="245"/>
      <c r="X170" s="241">
        <f t="shared" si="330"/>
        <v>122132.25</v>
      </c>
      <c r="Z170" s="245">
        <f>Z68*0.0125</f>
        <v>142052.85</v>
      </c>
      <c r="AA170" s="245"/>
      <c r="AB170" s="245"/>
      <c r="AC170" s="245"/>
      <c r="AD170" s="245"/>
      <c r="AE170" s="245"/>
      <c r="AF170" s="241">
        <f t="shared" si="331"/>
        <v>142052.85</v>
      </c>
      <c r="AH170" s="245">
        <f>AH68*0.0125</f>
        <v>296200.35000000003</v>
      </c>
      <c r="AI170" s="245"/>
      <c r="AJ170" s="245"/>
      <c r="AK170" s="245"/>
      <c r="AL170" s="245"/>
      <c r="AM170" s="245"/>
      <c r="AN170" s="241">
        <f t="shared" si="332"/>
        <v>296200.35000000003</v>
      </c>
      <c r="AP170" s="245">
        <f>AP68*0.0125</f>
        <v>81579.600000000006</v>
      </c>
      <c r="AQ170" s="245"/>
      <c r="AR170" s="245"/>
      <c r="AS170" s="245"/>
      <c r="AT170" s="245"/>
      <c r="AU170" s="245"/>
      <c r="AV170" s="241">
        <f t="shared" si="333"/>
        <v>81579.600000000006</v>
      </c>
      <c r="AX170" s="245">
        <f>AX68*0.0125</f>
        <v>21580.65</v>
      </c>
      <c r="AY170" s="245"/>
      <c r="AZ170" s="245"/>
      <c r="BA170" s="245"/>
      <c r="BB170" s="245"/>
      <c r="BC170" s="245"/>
      <c r="BD170" s="241">
        <f t="shared" si="334"/>
        <v>21580.65</v>
      </c>
      <c r="BF170" s="245"/>
      <c r="BG170" s="245"/>
      <c r="BH170" s="245"/>
      <c r="BI170" s="245"/>
      <c r="BJ170" s="245"/>
      <c r="BK170" s="245"/>
      <c r="BL170" s="241">
        <f t="shared" si="335"/>
        <v>0</v>
      </c>
      <c r="BN170" s="241">
        <f t="shared" si="336"/>
        <v>1071562.2749999999</v>
      </c>
      <c r="BO170" s="241">
        <f t="shared" si="327"/>
        <v>0</v>
      </c>
      <c r="BP170" s="241">
        <f t="shared" si="327"/>
        <v>0</v>
      </c>
      <c r="BQ170" s="241">
        <f t="shared" si="327"/>
        <v>0</v>
      </c>
      <c r="BR170" s="241">
        <f t="shared" si="327"/>
        <v>0</v>
      </c>
      <c r="BS170" s="241">
        <f t="shared" si="327"/>
        <v>0</v>
      </c>
      <c r="BT170" s="241">
        <f t="shared" si="337"/>
        <v>1071562.2749999999</v>
      </c>
    </row>
    <row r="171" spans="1:72" x14ac:dyDescent="0.25">
      <c r="A171" s="213"/>
      <c r="B171" s="258">
        <f>SUM(B162:B170)</f>
        <v>726459.84500000009</v>
      </c>
      <c r="C171" s="258">
        <f t="shared" ref="C171:H171" si="338">SUM(C162:C170)</f>
        <v>0</v>
      </c>
      <c r="D171" s="258">
        <f t="shared" si="338"/>
        <v>0</v>
      </c>
      <c r="E171" s="258">
        <f t="shared" si="338"/>
        <v>0</v>
      </c>
      <c r="F171" s="258">
        <f t="shared" si="338"/>
        <v>0</v>
      </c>
      <c r="G171" s="258">
        <f t="shared" si="338"/>
        <v>0</v>
      </c>
      <c r="H171" s="258">
        <f t="shared" si="338"/>
        <v>726459.84500000009</v>
      </c>
      <c r="J171" s="258">
        <f>SUM(J162:J170)</f>
        <v>1856266.79</v>
      </c>
      <c r="K171" s="258">
        <f t="shared" ref="K171:P171" si="339">SUM(K162:K170)</f>
        <v>0</v>
      </c>
      <c r="L171" s="258">
        <f t="shared" si="339"/>
        <v>0</v>
      </c>
      <c r="M171" s="258">
        <f t="shared" si="339"/>
        <v>0</v>
      </c>
      <c r="N171" s="258">
        <f t="shared" si="339"/>
        <v>0</v>
      </c>
      <c r="O171" s="258">
        <f t="shared" si="339"/>
        <v>0</v>
      </c>
      <c r="P171" s="258">
        <f t="shared" si="339"/>
        <v>1856266.79</v>
      </c>
      <c r="R171" s="258">
        <f>SUM(R162:R170)</f>
        <v>841798.12520000001</v>
      </c>
      <c r="S171" s="258">
        <f t="shared" ref="S171:X171" si="340">SUM(S162:S170)</f>
        <v>0</v>
      </c>
      <c r="T171" s="258">
        <f t="shared" si="340"/>
        <v>0</v>
      </c>
      <c r="U171" s="258">
        <f t="shared" si="340"/>
        <v>0</v>
      </c>
      <c r="V171" s="258">
        <f t="shared" si="340"/>
        <v>0</v>
      </c>
      <c r="W171" s="258">
        <f t="shared" si="340"/>
        <v>0</v>
      </c>
      <c r="X171" s="258">
        <f t="shared" si="340"/>
        <v>841798.12520000001</v>
      </c>
      <c r="Z171" s="258">
        <f>SUM(Z162:Z170)</f>
        <v>927468.53</v>
      </c>
      <c r="AA171" s="258">
        <f t="shared" ref="AA171:AF171" si="341">SUM(AA162:AA170)</f>
        <v>0</v>
      </c>
      <c r="AB171" s="258">
        <f t="shared" si="341"/>
        <v>0</v>
      </c>
      <c r="AC171" s="258">
        <f t="shared" si="341"/>
        <v>0</v>
      </c>
      <c r="AD171" s="258">
        <f t="shared" si="341"/>
        <v>0</v>
      </c>
      <c r="AE171" s="258">
        <f t="shared" si="341"/>
        <v>0</v>
      </c>
      <c r="AF171" s="258">
        <f t="shared" si="341"/>
        <v>927468.53</v>
      </c>
      <c r="AH171" s="258">
        <f>SUM(AH162:AH170)</f>
        <v>1849306.0300000003</v>
      </c>
      <c r="AI171" s="258">
        <f t="shared" ref="AI171:AN171" si="342">SUM(AI162:AI170)</f>
        <v>0</v>
      </c>
      <c r="AJ171" s="258">
        <f t="shared" si="342"/>
        <v>0</v>
      </c>
      <c r="AK171" s="258">
        <f t="shared" si="342"/>
        <v>0</v>
      </c>
      <c r="AL171" s="258">
        <f t="shared" si="342"/>
        <v>0</v>
      </c>
      <c r="AM171" s="258">
        <f t="shared" si="342"/>
        <v>0</v>
      </c>
      <c r="AN171" s="258">
        <f t="shared" si="342"/>
        <v>1849306.0300000003</v>
      </c>
      <c r="AP171" s="258">
        <f>SUM(AP162:AP170)</f>
        <v>519323.68000000005</v>
      </c>
      <c r="AQ171" s="258">
        <f t="shared" ref="AQ171:AV171" si="343">SUM(AQ162:AQ170)</f>
        <v>0</v>
      </c>
      <c r="AR171" s="258">
        <f t="shared" si="343"/>
        <v>0</v>
      </c>
      <c r="AS171" s="258">
        <f t="shared" si="343"/>
        <v>0</v>
      </c>
      <c r="AT171" s="258">
        <f t="shared" si="343"/>
        <v>0</v>
      </c>
      <c r="AU171" s="258">
        <f t="shared" si="343"/>
        <v>0</v>
      </c>
      <c r="AV171" s="258">
        <f t="shared" si="343"/>
        <v>519323.68000000005</v>
      </c>
      <c r="AX171" s="258">
        <f>SUM(AX162:AX170)</f>
        <v>337203.77</v>
      </c>
      <c r="AY171" s="258">
        <f t="shared" ref="AY171:BD171" si="344">SUM(AY162:AY170)</f>
        <v>0</v>
      </c>
      <c r="AZ171" s="258">
        <f t="shared" si="344"/>
        <v>0</v>
      </c>
      <c r="BA171" s="258">
        <f t="shared" si="344"/>
        <v>0</v>
      </c>
      <c r="BB171" s="258">
        <f t="shared" si="344"/>
        <v>0</v>
      </c>
      <c r="BC171" s="258">
        <f t="shared" si="344"/>
        <v>0</v>
      </c>
      <c r="BD171" s="258">
        <f t="shared" si="344"/>
        <v>337203.77</v>
      </c>
      <c r="BF171" s="258">
        <f>SUM(BF162:BF170)</f>
        <v>5500</v>
      </c>
      <c r="BG171" s="258">
        <f t="shared" ref="BG171:BL171" si="345">SUM(BG162:BG170)</f>
        <v>0</v>
      </c>
      <c r="BH171" s="258">
        <f t="shared" si="345"/>
        <v>0</v>
      </c>
      <c r="BI171" s="258">
        <f t="shared" si="345"/>
        <v>0</v>
      </c>
      <c r="BJ171" s="258">
        <f t="shared" si="345"/>
        <v>0</v>
      </c>
      <c r="BK171" s="258">
        <f t="shared" si="345"/>
        <v>0</v>
      </c>
      <c r="BL171" s="258">
        <f t="shared" si="345"/>
        <v>5500</v>
      </c>
      <c r="BN171" s="258">
        <f>SUM(BN162:BN170)</f>
        <v>7063326.7702000011</v>
      </c>
      <c r="BO171" s="258">
        <f t="shared" ref="BO171:BT171" si="346">SUM(BO162:BO170)</f>
        <v>0</v>
      </c>
      <c r="BP171" s="258">
        <f t="shared" si="346"/>
        <v>0</v>
      </c>
      <c r="BQ171" s="258">
        <f t="shared" si="346"/>
        <v>0</v>
      </c>
      <c r="BR171" s="258">
        <f t="shared" si="346"/>
        <v>0</v>
      </c>
      <c r="BS171" s="258">
        <f t="shared" si="346"/>
        <v>0</v>
      </c>
      <c r="BT171" s="258">
        <f t="shared" si="346"/>
        <v>7063326.7702000011</v>
      </c>
    </row>
    <row r="172" spans="1:72" x14ac:dyDescent="0.25">
      <c r="B172" s="259"/>
      <c r="C172" s="259"/>
      <c r="D172" s="259"/>
      <c r="E172" s="259"/>
      <c r="F172" s="259"/>
      <c r="G172" s="259"/>
      <c r="H172" s="259"/>
      <c r="J172" s="259"/>
      <c r="K172" s="259"/>
      <c r="L172" s="259"/>
      <c r="M172" s="259"/>
      <c r="N172" s="259"/>
      <c r="O172" s="259"/>
      <c r="P172" s="259"/>
      <c r="R172" s="259"/>
      <c r="S172" s="259"/>
      <c r="T172" s="259"/>
      <c r="U172" s="259"/>
      <c r="V172" s="259"/>
      <c r="W172" s="259"/>
      <c r="X172" s="259"/>
      <c r="Z172" s="259"/>
      <c r="AA172" s="259"/>
      <c r="AB172" s="259"/>
      <c r="AC172" s="259"/>
      <c r="AD172" s="259"/>
      <c r="AE172" s="259"/>
      <c r="AF172" s="259"/>
      <c r="AH172" s="259"/>
      <c r="AI172" s="259"/>
      <c r="AJ172" s="259"/>
      <c r="AK172" s="259"/>
      <c r="AL172" s="259"/>
      <c r="AM172" s="259"/>
      <c r="AN172" s="259"/>
      <c r="AP172" s="259"/>
      <c r="AQ172" s="259"/>
      <c r="AR172" s="259"/>
      <c r="AS172" s="259"/>
      <c r="AT172" s="259"/>
      <c r="AU172" s="259"/>
      <c r="AV172" s="259"/>
      <c r="AX172" s="259"/>
      <c r="AY172" s="259"/>
      <c r="AZ172" s="259"/>
      <c r="BA172" s="259"/>
      <c r="BB172" s="259"/>
      <c r="BC172" s="259"/>
      <c r="BD172" s="259"/>
      <c r="BF172" s="259"/>
      <c r="BG172" s="259"/>
      <c r="BH172" s="259"/>
      <c r="BI172" s="259"/>
      <c r="BJ172" s="259"/>
      <c r="BK172" s="259"/>
      <c r="BL172" s="259"/>
      <c r="BN172" s="259"/>
      <c r="BO172" s="259"/>
      <c r="BP172" s="259"/>
      <c r="BQ172" s="259"/>
      <c r="BR172" s="259"/>
      <c r="BS172" s="259"/>
      <c r="BT172" s="259"/>
    </row>
    <row r="173" spans="1:72" x14ac:dyDescent="0.25">
      <c r="A173" s="208" t="s">
        <v>336</v>
      </c>
      <c r="B173" s="260" t="s">
        <v>309</v>
      </c>
      <c r="C173" s="260" t="s">
        <v>310</v>
      </c>
      <c r="D173" s="260" t="s">
        <v>311</v>
      </c>
      <c r="E173" s="260" t="str">
        <f>E161</f>
        <v>Other</v>
      </c>
      <c r="F173" s="260" t="s">
        <v>315</v>
      </c>
      <c r="G173" s="260" t="s">
        <v>314</v>
      </c>
      <c r="H173" s="260" t="str">
        <f>H161</f>
        <v>Horizon</v>
      </c>
      <c r="J173" s="260" t="s">
        <v>309</v>
      </c>
      <c r="K173" s="260" t="s">
        <v>310</v>
      </c>
      <c r="L173" s="260" t="s">
        <v>311</v>
      </c>
      <c r="M173" s="260" t="str">
        <f>M161</f>
        <v>Other</v>
      </c>
      <c r="N173" s="260" t="s">
        <v>315</v>
      </c>
      <c r="O173" s="260" t="s">
        <v>314</v>
      </c>
      <c r="P173" s="260" t="str">
        <f>P161</f>
        <v>Cadence</v>
      </c>
      <c r="R173" s="260" t="s">
        <v>309</v>
      </c>
      <c r="S173" s="260" t="s">
        <v>310</v>
      </c>
      <c r="T173" s="260" t="s">
        <v>311</v>
      </c>
      <c r="U173" s="260" t="str">
        <f>U161</f>
        <v>Other</v>
      </c>
      <c r="V173" s="260" t="s">
        <v>315</v>
      </c>
      <c r="W173" s="260" t="s">
        <v>314</v>
      </c>
      <c r="X173" s="260" t="str">
        <f>X161</f>
        <v>St. Rose</v>
      </c>
      <c r="Z173" s="260" t="s">
        <v>309</v>
      </c>
      <c r="AA173" s="260" t="s">
        <v>310</v>
      </c>
      <c r="AB173" s="260" t="s">
        <v>311</v>
      </c>
      <c r="AC173" s="260" t="str">
        <f>AC161</f>
        <v>Other</v>
      </c>
      <c r="AD173" s="260" t="s">
        <v>315</v>
      </c>
      <c r="AE173" s="260" t="s">
        <v>314</v>
      </c>
      <c r="AF173" s="260" t="str">
        <f>AF161</f>
        <v>Inspirada</v>
      </c>
      <c r="AH173" s="260" t="s">
        <v>309</v>
      </c>
      <c r="AI173" s="260" t="s">
        <v>310</v>
      </c>
      <c r="AJ173" s="260" t="s">
        <v>311</v>
      </c>
      <c r="AK173" s="260" t="str">
        <f>AK161</f>
        <v>Other</v>
      </c>
      <c r="AL173" s="260" t="s">
        <v>315</v>
      </c>
      <c r="AM173" s="260" t="s">
        <v>314</v>
      </c>
      <c r="AN173" s="260" t="str">
        <f>AN161</f>
        <v>Sloan</v>
      </c>
      <c r="AP173" s="260" t="s">
        <v>309</v>
      </c>
      <c r="AQ173" s="260" t="s">
        <v>310</v>
      </c>
      <c r="AR173" s="260" t="s">
        <v>311</v>
      </c>
      <c r="AS173" s="260" t="str">
        <f>AS161</f>
        <v>Other</v>
      </c>
      <c r="AT173" s="260" t="s">
        <v>315</v>
      </c>
      <c r="AU173" s="260" t="s">
        <v>314</v>
      </c>
      <c r="AV173" s="260" t="str">
        <f>AV161</f>
        <v>Springs</v>
      </c>
      <c r="AX173" s="260" t="s">
        <v>309</v>
      </c>
      <c r="AY173" s="260" t="s">
        <v>310</v>
      </c>
      <c r="AZ173" s="260" t="s">
        <v>311</v>
      </c>
      <c r="BA173" s="260" t="str">
        <f>BA161</f>
        <v>Other</v>
      </c>
      <c r="BB173" s="260" t="s">
        <v>315</v>
      </c>
      <c r="BC173" s="260" t="s">
        <v>314</v>
      </c>
      <c r="BD173" s="260" t="str">
        <f>BD161</f>
        <v>Virtual</v>
      </c>
      <c r="BF173" s="260" t="s">
        <v>309</v>
      </c>
      <c r="BG173" s="260" t="s">
        <v>310</v>
      </c>
      <c r="BH173" s="260" t="s">
        <v>311</v>
      </c>
      <c r="BI173" s="260" t="str">
        <f>BI161</f>
        <v>Other</v>
      </c>
      <c r="BJ173" s="260" t="s">
        <v>315</v>
      </c>
      <c r="BK173" s="260" t="s">
        <v>314</v>
      </c>
      <c r="BL173" s="260" t="str">
        <f>BL161</f>
        <v>Central</v>
      </c>
      <c r="BN173" s="260" t="s">
        <v>309</v>
      </c>
      <c r="BO173" s="260" t="s">
        <v>310</v>
      </c>
      <c r="BP173" s="260" t="s">
        <v>311</v>
      </c>
      <c r="BQ173" s="260" t="str">
        <f>BQ161</f>
        <v>Other</v>
      </c>
      <c r="BR173" s="260" t="s">
        <v>315</v>
      </c>
      <c r="BS173" s="260" t="s">
        <v>314</v>
      </c>
      <c r="BT173" s="260" t="str">
        <f>BT161</f>
        <v>System</v>
      </c>
    </row>
    <row r="174" spans="1:72" x14ac:dyDescent="0.25">
      <c r="A174" s="214" t="s">
        <v>275</v>
      </c>
      <c r="B174" s="241">
        <f>((1400*12)+(250*12))*1.02</f>
        <v>20196</v>
      </c>
      <c r="C174" s="257"/>
      <c r="D174" s="257"/>
      <c r="E174" s="257"/>
      <c r="F174" s="257"/>
      <c r="G174" s="257"/>
      <c r="H174" s="241">
        <f>SUM(B174:G174)</f>
        <v>20196</v>
      </c>
      <c r="J174" s="241">
        <f>((550*12)+(1300*12))*1.02</f>
        <v>22644</v>
      </c>
      <c r="K174" s="257"/>
      <c r="L174" s="257"/>
      <c r="M174" s="257"/>
      <c r="N174" s="257"/>
      <c r="O174" s="257"/>
      <c r="P174" s="241">
        <f>SUM(J174:O174)</f>
        <v>22644</v>
      </c>
      <c r="R174" s="241">
        <f>((300*12)+(1000*12))*1.02</f>
        <v>15912</v>
      </c>
      <c r="S174" s="257"/>
      <c r="T174" s="257"/>
      <c r="U174" s="257"/>
      <c r="V174" s="257"/>
      <c r="W174" s="257"/>
      <c r="X174" s="241">
        <f>SUM(R174:W174)</f>
        <v>15912</v>
      </c>
      <c r="Z174" s="241">
        <f>((250*12)+(2200*12))*1.02</f>
        <v>29988</v>
      </c>
      <c r="AA174" s="257"/>
      <c r="AB174" s="257"/>
      <c r="AC174" s="257"/>
      <c r="AD174" s="257"/>
      <c r="AE174" s="257"/>
      <c r="AF174" s="241">
        <f>SUM(Z174:AE174)</f>
        <v>29988</v>
      </c>
      <c r="AH174" s="241">
        <f>((500*12)+(1200*12))*1.02</f>
        <v>20808</v>
      </c>
      <c r="AI174" s="257"/>
      <c r="AJ174" s="257"/>
      <c r="AK174" s="257"/>
      <c r="AL174" s="257"/>
      <c r="AM174" s="257"/>
      <c r="AN174" s="241">
        <f>SUM(AH174:AM174)</f>
        <v>20808</v>
      </c>
      <c r="AP174" s="241">
        <v>12000</v>
      </c>
      <c r="AQ174" s="257"/>
      <c r="AR174" s="257"/>
      <c r="AS174" s="257"/>
      <c r="AT174" s="257"/>
      <c r="AU174" s="257"/>
      <c r="AV174" s="241">
        <f>SUM(AP174:AU174)</f>
        <v>12000</v>
      </c>
      <c r="AX174" s="241"/>
      <c r="AY174" s="257"/>
      <c r="AZ174" s="257"/>
      <c r="BA174" s="257"/>
      <c r="BB174" s="257"/>
      <c r="BC174" s="257"/>
      <c r="BD174" s="241">
        <f>SUM(AX174:BC174)</f>
        <v>0</v>
      </c>
      <c r="BF174" s="241"/>
      <c r="BG174" s="241"/>
      <c r="BH174" s="241"/>
      <c r="BI174" s="241"/>
      <c r="BJ174" s="241"/>
      <c r="BK174" s="241"/>
      <c r="BL174" s="241">
        <f>SUM(BF174:BK174)</f>
        <v>0</v>
      </c>
      <c r="BN174" s="241">
        <f>B174+J174+R174+Z174+AH174+AP174+AX174+BF174</f>
        <v>121548</v>
      </c>
      <c r="BO174" s="241">
        <f t="shared" ref="BO174:BS189" si="347">C174+K174+S174+AA174+AI174+AQ174+AY174+BG174</f>
        <v>0</v>
      </c>
      <c r="BP174" s="241">
        <f t="shared" si="347"/>
        <v>0</v>
      </c>
      <c r="BQ174" s="241">
        <f t="shared" si="347"/>
        <v>0</v>
      </c>
      <c r="BR174" s="241">
        <f t="shared" si="347"/>
        <v>0</v>
      </c>
      <c r="BS174" s="241">
        <f t="shared" si="347"/>
        <v>0</v>
      </c>
      <c r="BT174" s="241">
        <f>SUM(BN174:BS174)</f>
        <v>121548</v>
      </c>
    </row>
    <row r="175" spans="1:72" x14ac:dyDescent="0.25">
      <c r="A175" s="211" t="s">
        <v>276</v>
      </c>
      <c r="B175" s="241">
        <f>1000+100</f>
        <v>1100</v>
      </c>
      <c r="C175" s="244"/>
      <c r="D175" s="244"/>
      <c r="E175" s="244"/>
      <c r="F175" s="244"/>
      <c r="G175" s="244"/>
      <c r="H175" s="241">
        <f t="shared" ref="H175:H192" si="348">SUM(B175:G175)</f>
        <v>1100</v>
      </c>
      <c r="J175" s="241">
        <f>2000+100</f>
        <v>2100</v>
      </c>
      <c r="K175" s="244"/>
      <c r="L175" s="244"/>
      <c r="M175" s="244"/>
      <c r="N175" s="244"/>
      <c r="O175" s="244"/>
      <c r="P175" s="241">
        <f t="shared" ref="P175:P192" si="349">SUM(J175:O175)</f>
        <v>2100</v>
      </c>
      <c r="R175" s="241">
        <f>1250+100</f>
        <v>1350</v>
      </c>
      <c r="S175" s="244"/>
      <c r="T175" s="244"/>
      <c r="U175" s="244"/>
      <c r="V175" s="244"/>
      <c r="W175" s="244"/>
      <c r="X175" s="241">
        <f t="shared" ref="X175:X192" si="350">SUM(R175:W175)</f>
        <v>1350</v>
      </c>
      <c r="Z175" s="241">
        <f>1250+50</f>
        <v>1300</v>
      </c>
      <c r="AA175" s="244"/>
      <c r="AB175" s="244"/>
      <c r="AC175" s="244"/>
      <c r="AD175" s="244"/>
      <c r="AE175" s="244"/>
      <c r="AF175" s="241">
        <f t="shared" ref="AF175:AF192" si="351">SUM(Z175:AE175)</f>
        <v>1300</v>
      </c>
      <c r="AH175" s="241">
        <f>2000+100</f>
        <v>2100</v>
      </c>
      <c r="AI175" s="244"/>
      <c r="AJ175" s="244"/>
      <c r="AK175" s="244"/>
      <c r="AL175" s="244"/>
      <c r="AM175" s="244"/>
      <c r="AN175" s="241">
        <f t="shared" ref="AN175:AN192" si="352">SUM(AH175:AM175)</f>
        <v>2100</v>
      </c>
      <c r="AP175" s="241">
        <v>1500</v>
      </c>
      <c r="AQ175" s="244"/>
      <c r="AR175" s="244"/>
      <c r="AS175" s="244"/>
      <c r="AT175" s="244"/>
      <c r="AU175" s="244"/>
      <c r="AV175" s="241">
        <f t="shared" ref="AV175:AV192" si="353">SUM(AP175:AU175)</f>
        <v>1500</v>
      </c>
      <c r="AX175" s="241">
        <f>2000+250</f>
        <v>2250</v>
      </c>
      <c r="AY175" s="244"/>
      <c r="AZ175" s="244"/>
      <c r="BA175" s="244"/>
      <c r="BB175" s="244"/>
      <c r="BC175" s="244"/>
      <c r="BD175" s="241">
        <f t="shared" ref="BD175:BD192" si="354">SUM(AX175:BC175)</f>
        <v>2250</v>
      </c>
      <c r="BF175" s="241"/>
      <c r="BG175" s="242"/>
      <c r="BH175" s="242"/>
      <c r="BI175" s="242"/>
      <c r="BJ175" s="242"/>
      <c r="BK175" s="242"/>
      <c r="BL175" s="241">
        <f t="shared" ref="BL175:BL192" si="355">SUM(BF175:BK175)</f>
        <v>0</v>
      </c>
      <c r="BN175" s="241">
        <f t="shared" ref="BN175:BS193" si="356">B175+J175+R175+Z175+AH175+AP175+AX175+BF175</f>
        <v>11700</v>
      </c>
      <c r="BO175" s="241">
        <f t="shared" si="347"/>
        <v>0</v>
      </c>
      <c r="BP175" s="241">
        <f t="shared" si="347"/>
        <v>0</v>
      </c>
      <c r="BQ175" s="241">
        <f t="shared" si="347"/>
        <v>0</v>
      </c>
      <c r="BR175" s="241">
        <f t="shared" si="347"/>
        <v>0</v>
      </c>
      <c r="BS175" s="241">
        <f t="shared" si="347"/>
        <v>0</v>
      </c>
      <c r="BT175" s="241">
        <f t="shared" ref="BT175:BT192" si="357">SUM(BN175:BS175)</f>
        <v>11700</v>
      </c>
    </row>
    <row r="176" spans="1:72" x14ac:dyDescent="0.25">
      <c r="A176" s="211" t="s">
        <v>277</v>
      </c>
      <c r="B176" s="241">
        <f>5000+500</f>
        <v>5500</v>
      </c>
      <c r="C176" s="244"/>
      <c r="D176" s="244"/>
      <c r="E176" s="244"/>
      <c r="F176" s="244"/>
      <c r="G176" s="244"/>
      <c r="H176" s="241">
        <f t="shared" si="348"/>
        <v>5500</v>
      </c>
      <c r="J176" s="241">
        <f>5000+500</f>
        <v>5500</v>
      </c>
      <c r="K176" s="244"/>
      <c r="L176" s="244"/>
      <c r="M176" s="244"/>
      <c r="N176" s="244"/>
      <c r="O176" s="244"/>
      <c r="P176" s="241">
        <f t="shared" si="349"/>
        <v>5500</v>
      </c>
      <c r="R176" s="241">
        <f>5000+500</f>
        <v>5500</v>
      </c>
      <c r="S176" s="244"/>
      <c r="T176" s="244"/>
      <c r="U176" s="244"/>
      <c r="V176" s="244"/>
      <c r="W176" s="244"/>
      <c r="X176" s="241">
        <f t="shared" si="350"/>
        <v>5500</v>
      </c>
      <c r="Z176" s="241">
        <f>5000+500</f>
        <v>5500</v>
      </c>
      <c r="AA176" s="244"/>
      <c r="AB176" s="244"/>
      <c r="AC176" s="244"/>
      <c r="AD176" s="244"/>
      <c r="AE176" s="244"/>
      <c r="AF176" s="241">
        <f t="shared" si="351"/>
        <v>5500</v>
      </c>
      <c r="AH176" s="241">
        <f>5000+500</f>
        <v>5500</v>
      </c>
      <c r="AI176" s="244"/>
      <c r="AJ176" s="244"/>
      <c r="AK176" s="244"/>
      <c r="AL176" s="244"/>
      <c r="AM176" s="244"/>
      <c r="AN176" s="241">
        <f t="shared" si="352"/>
        <v>5500</v>
      </c>
      <c r="AP176" s="241">
        <f>5000+500</f>
        <v>5500</v>
      </c>
      <c r="AQ176" s="244"/>
      <c r="AR176" s="244"/>
      <c r="AS176" s="244"/>
      <c r="AT176" s="244"/>
      <c r="AU176" s="244"/>
      <c r="AV176" s="241">
        <f t="shared" si="353"/>
        <v>5500</v>
      </c>
      <c r="AX176" s="241">
        <f>5000+500</f>
        <v>5500</v>
      </c>
      <c r="AY176" s="244"/>
      <c r="AZ176" s="244"/>
      <c r="BA176" s="244"/>
      <c r="BB176" s="244"/>
      <c r="BC176" s="244"/>
      <c r="BD176" s="241">
        <f t="shared" si="354"/>
        <v>5500</v>
      </c>
      <c r="BF176" s="241"/>
      <c r="BG176" s="242"/>
      <c r="BH176" s="242"/>
      <c r="BI176" s="242"/>
      <c r="BJ176" s="242"/>
      <c r="BK176" s="242"/>
      <c r="BL176" s="241">
        <f t="shared" si="355"/>
        <v>0</v>
      </c>
      <c r="BN176" s="241">
        <f t="shared" si="356"/>
        <v>38500</v>
      </c>
      <c r="BO176" s="241">
        <f t="shared" si="347"/>
        <v>0</v>
      </c>
      <c r="BP176" s="241">
        <f t="shared" si="347"/>
        <v>0</v>
      </c>
      <c r="BQ176" s="241">
        <f t="shared" si="347"/>
        <v>0</v>
      </c>
      <c r="BR176" s="241">
        <f t="shared" si="347"/>
        <v>0</v>
      </c>
      <c r="BS176" s="241">
        <f t="shared" si="347"/>
        <v>0</v>
      </c>
      <c r="BT176" s="241">
        <f t="shared" si="357"/>
        <v>38500</v>
      </c>
    </row>
    <row r="177" spans="1:72" x14ac:dyDescent="0.25">
      <c r="A177" s="211" t="s">
        <v>278</v>
      </c>
      <c r="B177" s="241">
        <f>45000*1.03</f>
        <v>46350</v>
      </c>
      <c r="C177" s="244"/>
      <c r="D177" s="244"/>
      <c r="E177" s="244"/>
      <c r="F177" s="244"/>
      <c r="G177" s="244"/>
      <c r="H177" s="241">
        <f t="shared" si="348"/>
        <v>46350</v>
      </c>
      <c r="J177" s="241">
        <f>100000*1.03</f>
        <v>103000</v>
      </c>
      <c r="K177" s="244"/>
      <c r="L177" s="244"/>
      <c r="M177" s="244"/>
      <c r="N177" s="244"/>
      <c r="O177" s="244"/>
      <c r="P177" s="241">
        <f t="shared" si="349"/>
        <v>103000</v>
      </c>
      <c r="R177" s="241">
        <f>50000*1.04</f>
        <v>52000</v>
      </c>
      <c r="S177" s="244"/>
      <c r="T177" s="244"/>
      <c r="U177" s="244"/>
      <c r="V177" s="244"/>
      <c r="W177" s="244"/>
      <c r="X177" s="241">
        <f t="shared" si="350"/>
        <v>52000</v>
      </c>
      <c r="Z177" s="241">
        <f>60000*1.03</f>
        <v>61800</v>
      </c>
      <c r="AA177" s="244"/>
      <c r="AB177" s="244"/>
      <c r="AC177" s="244"/>
      <c r="AD177" s="244"/>
      <c r="AE177" s="244"/>
      <c r="AF177" s="241">
        <f t="shared" si="351"/>
        <v>61800</v>
      </c>
      <c r="AH177" s="241">
        <f>100000*1.03</f>
        <v>103000</v>
      </c>
      <c r="AI177" s="244"/>
      <c r="AJ177" s="244"/>
      <c r="AK177" s="244"/>
      <c r="AL177" s="244"/>
      <c r="AM177" s="244"/>
      <c r="AN177" s="241">
        <f t="shared" si="352"/>
        <v>103000</v>
      </c>
      <c r="AP177" s="241">
        <v>30000</v>
      </c>
      <c r="AQ177" s="244"/>
      <c r="AR177" s="244"/>
      <c r="AS177" s="244"/>
      <c r="AT177" s="244"/>
      <c r="AU177" s="244"/>
      <c r="AV177" s="241">
        <f t="shared" si="353"/>
        <v>30000</v>
      </c>
      <c r="AX177" s="241">
        <f>7500+500</f>
        <v>8000</v>
      </c>
      <c r="AY177" s="244"/>
      <c r="AZ177" s="244"/>
      <c r="BA177" s="244"/>
      <c r="BB177" s="244"/>
      <c r="BC177" s="244"/>
      <c r="BD177" s="241">
        <f t="shared" si="354"/>
        <v>8000</v>
      </c>
      <c r="BF177" s="241"/>
      <c r="BG177" s="242"/>
      <c r="BH177" s="242"/>
      <c r="BI177" s="242"/>
      <c r="BJ177" s="242"/>
      <c r="BK177" s="242"/>
      <c r="BL177" s="241">
        <f t="shared" si="355"/>
        <v>0</v>
      </c>
      <c r="BN177" s="241">
        <f t="shared" si="356"/>
        <v>404150</v>
      </c>
      <c r="BO177" s="241">
        <f t="shared" si="347"/>
        <v>0</v>
      </c>
      <c r="BP177" s="241">
        <f t="shared" si="347"/>
        <v>0</v>
      </c>
      <c r="BQ177" s="241">
        <f t="shared" si="347"/>
        <v>0</v>
      </c>
      <c r="BR177" s="241">
        <f t="shared" si="347"/>
        <v>0</v>
      </c>
      <c r="BS177" s="241">
        <f t="shared" si="347"/>
        <v>0</v>
      </c>
      <c r="BT177" s="241">
        <f t="shared" si="357"/>
        <v>404150</v>
      </c>
    </row>
    <row r="178" spans="1:72" x14ac:dyDescent="0.25">
      <c r="A178" s="211" t="s">
        <v>279</v>
      </c>
      <c r="B178" s="241">
        <f>((2+2.5+0.4+1.95)*B17)*1.03</f>
        <v>6540.4485000000013</v>
      </c>
      <c r="C178" s="244"/>
      <c r="D178" s="244"/>
      <c r="E178" s="244"/>
      <c r="F178" s="244"/>
      <c r="G178" s="244"/>
      <c r="H178" s="241">
        <f t="shared" si="348"/>
        <v>6540.4485000000013</v>
      </c>
      <c r="J178" s="241">
        <f>((2+2.5+0.4+1.95)*J17)*1.03</f>
        <v>17737.527000000002</v>
      </c>
      <c r="K178" s="244"/>
      <c r="L178" s="244"/>
      <c r="M178" s="244"/>
      <c r="N178" s="244"/>
      <c r="O178" s="244"/>
      <c r="P178" s="241">
        <f t="shared" si="349"/>
        <v>17737.527000000002</v>
      </c>
      <c r="R178" s="241">
        <f>((2+2.5+0.4+1.95)*R17)*1.03</f>
        <v>7267.1650000000009</v>
      </c>
      <c r="S178" s="244"/>
      <c r="T178" s="244"/>
      <c r="U178" s="244"/>
      <c r="V178" s="244"/>
      <c r="W178" s="244"/>
      <c r="X178" s="241">
        <f t="shared" si="350"/>
        <v>7267.1650000000009</v>
      </c>
      <c r="Z178" s="241">
        <f>((2+2.5+0.4+1.95)*Z17)*1.02</f>
        <v>8370.4260000000013</v>
      </c>
      <c r="AA178" s="244"/>
      <c r="AB178" s="244"/>
      <c r="AC178" s="244"/>
      <c r="AD178" s="244"/>
      <c r="AE178" s="244"/>
      <c r="AF178" s="241">
        <f t="shared" si="351"/>
        <v>8370.4260000000013</v>
      </c>
      <c r="AH178" s="241">
        <f>((2+2.5+0.4+1.95)*AH17)*1.02</f>
        <v>17453.526000000002</v>
      </c>
      <c r="AI178" s="244"/>
      <c r="AJ178" s="244"/>
      <c r="AK178" s="244"/>
      <c r="AL178" s="244"/>
      <c r="AM178" s="244"/>
      <c r="AN178" s="241">
        <f t="shared" si="352"/>
        <v>17453.526000000002</v>
      </c>
      <c r="AP178" s="241">
        <f>((2+2.5+0.4+1.95)*AP17)*1.02</f>
        <v>4807.0560000000005</v>
      </c>
      <c r="AQ178" s="244"/>
      <c r="AR178" s="244"/>
      <c r="AS178" s="244"/>
      <c r="AT178" s="244"/>
      <c r="AU178" s="244"/>
      <c r="AV178" s="241">
        <f t="shared" si="353"/>
        <v>4807.0560000000005</v>
      </c>
      <c r="AX178" s="241">
        <f>((2+2.5+0.4+1.95)*AX17)*1.01</f>
        <v>1259.1670000000001</v>
      </c>
      <c r="AY178" s="244"/>
      <c r="AZ178" s="244"/>
      <c r="BA178" s="244"/>
      <c r="BB178" s="244"/>
      <c r="BC178" s="244"/>
      <c r="BD178" s="241">
        <f t="shared" si="354"/>
        <v>1259.1670000000001</v>
      </c>
      <c r="BF178" s="241"/>
      <c r="BG178" s="242"/>
      <c r="BH178" s="242"/>
      <c r="BI178" s="242"/>
      <c r="BJ178" s="242"/>
      <c r="BK178" s="242"/>
      <c r="BL178" s="241">
        <f t="shared" si="355"/>
        <v>0</v>
      </c>
      <c r="BN178" s="241">
        <f t="shared" si="356"/>
        <v>63435.315500000012</v>
      </c>
      <c r="BO178" s="241">
        <f t="shared" si="347"/>
        <v>0</v>
      </c>
      <c r="BP178" s="241">
        <f t="shared" si="347"/>
        <v>0</v>
      </c>
      <c r="BQ178" s="241">
        <f t="shared" si="347"/>
        <v>0</v>
      </c>
      <c r="BR178" s="241">
        <f t="shared" si="347"/>
        <v>0</v>
      </c>
      <c r="BS178" s="241">
        <f t="shared" si="347"/>
        <v>0</v>
      </c>
      <c r="BT178" s="241">
        <f t="shared" si="357"/>
        <v>63435.315500000012</v>
      </c>
    </row>
    <row r="179" spans="1:72" x14ac:dyDescent="0.25">
      <c r="A179" s="211" t="s">
        <v>280</v>
      </c>
      <c r="B179" s="241">
        <f>71000*1.15</f>
        <v>81650</v>
      </c>
      <c r="C179" s="244"/>
      <c r="D179" s="244"/>
      <c r="E179" s="244"/>
      <c r="F179" s="244"/>
      <c r="G179" s="244"/>
      <c r="H179" s="241">
        <f t="shared" si="348"/>
        <v>81650</v>
      </c>
      <c r="J179" s="241">
        <f>194000*1.15</f>
        <v>223099.99999999997</v>
      </c>
      <c r="K179" s="244"/>
      <c r="L179" s="244"/>
      <c r="M179" s="244"/>
      <c r="N179" s="244"/>
      <c r="O179" s="244"/>
      <c r="P179" s="241">
        <f t="shared" si="349"/>
        <v>223099.99999999997</v>
      </c>
      <c r="R179" s="241">
        <f>80500*1.15</f>
        <v>92575</v>
      </c>
      <c r="S179" s="244"/>
      <c r="T179" s="244"/>
      <c r="U179" s="244"/>
      <c r="V179" s="244"/>
      <c r="W179" s="244"/>
      <c r="X179" s="241">
        <f t="shared" si="350"/>
        <v>92575</v>
      </c>
      <c r="Z179" s="241">
        <f>92500*1.15</f>
        <v>106374.99999999999</v>
      </c>
      <c r="AA179" s="244"/>
      <c r="AB179" s="244"/>
      <c r="AC179" s="244"/>
      <c r="AD179" s="244"/>
      <c r="AE179" s="244"/>
      <c r="AF179" s="241">
        <f t="shared" si="351"/>
        <v>106374.99999999999</v>
      </c>
      <c r="AH179" s="241">
        <f>188500*1.15</f>
        <v>216774.99999999997</v>
      </c>
      <c r="AI179" s="244"/>
      <c r="AJ179" s="244"/>
      <c r="AK179" s="244"/>
      <c r="AL179" s="244"/>
      <c r="AM179" s="244"/>
      <c r="AN179" s="241">
        <f t="shared" si="352"/>
        <v>216774.99999999997</v>
      </c>
      <c r="AP179" s="241">
        <v>65000</v>
      </c>
      <c r="AQ179" s="244"/>
      <c r="AR179" s="244"/>
      <c r="AS179" s="244"/>
      <c r="AT179" s="244"/>
      <c r="AU179" s="244"/>
      <c r="AV179" s="241">
        <f t="shared" si="353"/>
        <v>65000</v>
      </c>
      <c r="AX179" s="241">
        <f>11000*1.15</f>
        <v>12649.999999999998</v>
      </c>
      <c r="AY179" s="244"/>
      <c r="AZ179" s="244"/>
      <c r="BA179" s="244"/>
      <c r="BB179" s="244"/>
      <c r="BC179" s="244"/>
      <c r="BD179" s="241">
        <f t="shared" si="354"/>
        <v>12649.999999999998</v>
      </c>
      <c r="BF179" s="241"/>
      <c r="BG179" s="242"/>
      <c r="BH179" s="242"/>
      <c r="BI179" s="242"/>
      <c r="BJ179" s="242"/>
      <c r="BK179" s="242"/>
      <c r="BL179" s="241">
        <f t="shared" si="355"/>
        <v>0</v>
      </c>
      <c r="BN179" s="241">
        <f t="shared" si="356"/>
        <v>798125</v>
      </c>
      <c r="BO179" s="241">
        <f t="shared" si="347"/>
        <v>0</v>
      </c>
      <c r="BP179" s="241">
        <f t="shared" si="347"/>
        <v>0</v>
      </c>
      <c r="BQ179" s="241">
        <f t="shared" si="347"/>
        <v>0</v>
      </c>
      <c r="BR179" s="241">
        <f t="shared" si="347"/>
        <v>0</v>
      </c>
      <c r="BS179" s="241">
        <f t="shared" si="347"/>
        <v>0</v>
      </c>
      <c r="BT179" s="241">
        <f t="shared" si="357"/>
        <v>798125</v>
      </c>
    </row>
    <row r="180" spans="1:72" x14ac:dyDescent="0.25">
      <c r="A180" s="211" t="s">
        <v>281</v>
      </c>
      <c r="B180" s="241">
        <v>0</v>
      </c>
      <c r="C180" s="244"/>
      <c r="D180" s="242">
        <f>125*2.25*180</f>
        <v>50625</v>
      </c>
      <c r="E180" s="244"/>
      <c r="F180" s="244"/>
      <c r="G180" s="244"/>
      <c r="H180" s="241">
        <f t="shared" si="348"/>
        <v>50625</v>
      </c>
      <c r="J180" s="241">
        <v>0</v>
      </c>
      <c r="K180" s="244"/>
      <c r="L180" s="242">
        <f>200*2.25*180</f>
        <v>81000</v>
      </c>
      <c r="M180" s="244"/>
      <c r="N180" s="244"/>
      <c r="O180" s="244"/>
      <c r="P180" s="241">
        <f t="shared" si="349"/>
        <v>81000</v>
      </c>
      <c r="R180" s="241">
        <v>0</v>
      </c>
      <c r="S180" s="244"/>
      <c r="T180" s="242">
        <v>0</v>
      </c>
      <c r="U180" s="244"/>
      <c r="V180" s="244"/>
      <c r="W180" s="244"/>
      <c r="X180" s="241">
        <f t="shared" si="350"/>
        <v>0</v>
      </c>
      <c r="Z180" s="241">
        <v>0</v>
      </c>
      <c r="AA180" s="244"/>
      <c r="AB180" s="244"/>
      <c r="AC180" s="244"/>
      <c r="AD180" s="244"/>
      <c r="AE180" s="244"/>
      <c r="AF180" s="241">
        <f t="shared" si="351"/>
        <v>0</v>
      </c>
      <c r="AH180" s="241">
        <v>0</v>
      </c>
      <c r="AI180" s="244"/>
      <c r="AJ180" s="242">
        <v>0</v>
      </c>
      <c r="AK180" s="244"/>
      <c r="AL180" s="244"/>
      <c r="AM180" s="244"/>
      <c r="AN180" s="241">
        <f t="shared" si="352"/>
        <v>0</v>
      </c>
      <c r="AP180" s="241">
        <v>0</v>
      </c>
      <c r="AQ180" s="244"/>
      <c r="AR180" s="242">
        <f>250*2.25*180</f>
        <v>101250</v>
      </c>
      <c r="AS180" s="244"/>
      <c r="AT180" s="244"/>
      <c r="AU180" s="244"/>
      <c r="AV180" s="241">
        <f t="shared" si="353"/>
        <v>101250</v>
      </c>
      <c r="AX180" s="241">
        <v>0</v>
      </c>
      <c r="AY180" s="244"/>
      <c r="AZ180" s="244">
        <v>0</v>
      </c>
      <c r="BA180" s="244"/>
      <c r="BB180" s="244"/>
      <c r="BC180" s="244"/>
      <c r="BD180" s="241">
        <f t="shared" si="354"/>
        <v>0</v>
      </c>
      <c r="BF180" s="241"/>
      <c r="BG180" s="242"/>
      <c r="BH180" s="242"/>
      <c r="BI180" s="242"/>
      <c r="BJ180" s="242"/>
      <c r="BK180" s="242"/>
      <c r="BL180" s="241">
        <f t="shared" si="355"/>
        <v>0</v>
      </c>
      <c r="BN180" s="241">
        <f t="shared" si="356"/>
        <v>0</v>
      </c>
      <c r="BO180" s="241">
        <f t="shared" si="347"/>
        <v>0</v>
      </c>
      <c r="BP180" s="241">
        <f t="shared" si="347"/>
        <v>232875</v>
      </c>
      <c r="BQ180" s="241">
        <f t="shared" si="347"/>
        <v>0</v>
      </c>
      <c r="BR180" s="241">
        <f t="shared" si="347"/>
        <v>0</v>
      </c>
      <c r="BS180" s="241">
        <f t="shared" si="347"/>
        <v>0</v>
      </c>
      <c r="BT180" s="241">
        <f t="shared" si="357"/>
        <v>232875</v>
      </c>
    </row>
    <row r="181" spans="1:72" x14ac:dyDescent="0.25">
      <c r="A181" s="211" t="s">
        <v>282</v>
      </c>
      <c r="B181" s="241">
        <v>0</v>
      </c>
      <c r="C181" s="244"/>
      <c r="D181" s="242">
        <f>3.65*250*180</f>
        <v>164250</v>
      </c>
      <c r="E181" s="244"/>
      <c r="F181" s="244"/>
      <c r="G181" s="244"/>
      <c r="H181" s="241">
        <f t="shared" si="348"/>
        <v>164250</v>
      </c>
      <c r="J181" s="241">
        <v>0</v>
      </c>
      <c r="K181" s="244"/>
      <c r="L181" s="242">
        <f>3.65*525*180</f>
        <v>344925</v>
      </c>
      <c r="M181" s="244"/>
      <c r="N181" s="244"/>
      <c r="O181" s="244"/>
      <c r="P181" s="241">
        <f t="shared" si="349"/>
        <v>344925</v>
      </c>
      <c r="R181" s="241">
        <v>0</v>
      </c>
      <c r="S181" s="244"/>
      <c r="T181" s="242">
        <f>(165*3.65*180)</f>
        <v>108405</v>
      </c>
      <c r="U181" s="244"/>
      <c r="V181" s="244"/>
      <c r="W181" s="244"/>
      <c r="X181" s="241">
        <f t="shared" si="350"/>
        <v>108405</v>
      </c>
      <c r="Z181" s="241">
        <v>0</v>
      </c>
      <c r="AA181" s="244"/>
      <c r="AB181" s="242">
        <f>(105*3.65*180)</f>
        <v>68985</v>
      </c>
      <c r="AC181" s="244"/>
      <c r="AD181" s="244"/>
      <c r="AE181" s="244"/>
      <c r="AF181" s="241">
        <f t="shared" si="351"/>
        <v>68985</v>
      </c>
      <c r="AH181" s="241">
        <v>0</v>
      </c>
      <c r="AI181" s="244"/>
      <c r="AJ181" s="242">
        <f>(275*3.65*180)</f>
        <v>180675</v>
      </c>
      <c r="AK181" s="244"/>
      <c r="AL181" s="244"/>
      <c r="AM181" s="244"/>
      <c r="AN181" s="241">
        <f t="shared" si="352"/>
        <v>180675</v>
      </c>
      <c r="AP181" s="241">
        <v>0</v>
      </c>
      <c r="AQ181" s="244"/>
      <c r="AR181" s="242">
        <f>3.65*600*180</f>
        <v>394200</v>
      </c>
      <c r="AS181" s="244"/>
      <c r="AT181" s="244"/>
      <c r="AU181" s="244"/>
      <c r="AV181" s="241">
        <f t="shared" si="353"/>
        <v>394200</v>
      </c>
      <c r="AX181" s="241">
        <v>0</v>
      </c>
      <c r="AY181" s="244"/>
      <c r="AZ181" s="243"/>
      <c r="BA181" s="244"/>
      <c r="BB181" s="244"/>
      <c r="BC181" s="244"/>
      <c r="BD181" s="241">
        <f t="shared" si="354"/>
        <v>0</v>
      </c>
      <c r="BF181" s="241"/>
      <c r="BG181" s="242"/>
      <c r="BH181" s="242"/>
      <c r="BI181" s="242"/>
      <c r="BJ181" s="242"/>
      <c r="BK181" s="242"/>
      <c r="BL181" s="241">
        <f t="shared" si="355"/>
        <v>0</v>
      </c>
      <c r="BN181" s="241">
        <f t="shared" si="356"/>
        <v>0</v>
      </c>
      <c r="BO181" s="241">
        <f t="shared" si="347"/>
        <v>0</v>
      </c>
      <c r="BP181" s="241">
        <f t="shared" si="347"/>
        <v>1261440</v>
      </c>
      <c r="BQ181" s="241">
        <f t="shared" si="347"/>
        <v>0</v>
      </c>
      <c r="BR181" s="241">
        <f t="shared" si="347"/>
        <v>0</v>
      </c>
      <c r="BS181" s="241">
        <f t="shared" si="347"/>
        <v>0</v>
      </c>
      <c r="BT181" s="241">
        <f t="shared" si="357"/>
        <v>1261440</v>
      </c>
    </row>
    <row r="182" spans="1:72" x14ac:dyDescent="0.25">
      <c r="A182" s="211" t="s">
        <v>283</v>
      </c>
      <c r="B182" s="241">
        <f>7500+500</f>
        <v>8000</v>
      </c>
      <c r="C182" s="244"/>
      <c r="D182" s="242"/>
      <c r="E182" s="244"/>
      <c r="F182" s="244"/>
      <c r="G182" s="244"/>
      <c r="H182" s="241">
        <f t="shared" si="348"/>
        <v>8000</v>
      </c>
      <c r="J182" s="241">
        <v>12000</v>
      </c>
      <c r="K182" s="244"/>
      <c r="L182" s="244"/>
      <c r="M182" s="244"/>
      <c r="N182" s="244"/>
      <c r="O182" s="244"/>
      <c r="P182" s="241">
        <f t="shared" si="349"/>
        <v>12000</v>
      </c>
      <c r="R182" s="241">
        <f>7500+250</f>
        <v>7750</v>
      </c>
      <c r="S182" s="244"/>
      <c r="T182" s="244"/>
      <c r="U182" s="244"/>
      <c r="V182" s="244"/>
      <c r="W182" s="244"/>
      <c r="X182" s="241">
        <f t="shared" si="350"/>
        <v>7750</v>
      </c>
      <c r="Z182" s="241">
        <f>7500+250</f>
        <v>7750</v>
      </c>
      <c r="AA182" s="244"/>
      <c r="AB182" s="244"/>
      <c r="AC182" s="244"/>
      <c r="AD182" s="244"/>
      <c r="AE182" s="244"/>
      <c r="AF182" s="241">
        <f t="shared" si="351"/>
        <v>7750</v>
      </c>
      <c r="AH182" s="241">
        <f>7500+250</f>
        <v>7750</v>
      </c>
      <c r="AI182" s="244"/>
      <c r="AJ182" s="244"/>
      <c r="AK182" s="244"/>
      <c r="AL182" s="244"/>
      <c r="AM182" s="244"/>
      <c r="AN182" s="241">
        <f t="shared" si="352"/>
        <v>7750</v>
      </c>
      <c r="AP182" s="241">
        <v>10000</v>
      </c>
      <c r="AQ182" s="244"/>
      <c r="AR182" s="244"/>
      <c r="AS182" s="244"/>
      <c r="AT182" s="244"/>
      <c r="AU182" s="244"/>
      <c r="AV182" s="241">
        <f t="shared" si="353"/>
        <v>10000</v>
      </c>
      <c r="AX182" s="241">
        <f>12500+500</f>
        <v>13000</v>
      </c>
      <c r="AY182" s="244"/>
      <c r="AZ182" s="244"/>
      <c r="BA182" s="244"/>
      <c r="BB182" s="244"/>
      <c r="BC182" s="244"/>
      <c r="BD182" s="241">
        <f t="shared" si="354"/>
        <v>13000</v>
      </c>
      <c r="BF182" s="241"/>
      <c r="BG182" s="242"/>
      <c r="BH182" s="242"/>
      <c r="BI182" s="242"/>
      <c r="BJ182" s="242"/>
      <c r="BK182" s="242"/>
      <c r="BL182" s="241">
        <f t="shared" si="355"/>
        <v>0</v>
      </c>
      <c r="BN182" s="241">
        <f t="shared" si="356"/>
        <v>66250</v>
      </c>
      <c r="BO182" s="241">
        <f t="shared" si="347"/>
        <v>0</v>
      </c>
      <c r="BP182" s="241">
        <f t="shared" si="347"/>
        <v>0</v>
      </c>
      <c r="BQ182" s="241">
        <f t="shared" si="347"/>
        <v>0</v>
      </c>
      <c r="BR182" s="241">
        <f t="shared" si="347"/>
        <v>0</v>
      </c>
      <c r="BS182" s="241">
        <f t="shared" si="347"/>
        <v>0</v>
      </c>
      <c r="BT182" s="241">
        <f t="shared" si="357"/>
        <v>66250</v>
      </c>
    </row>
    <row r="183" spans="1:72" x14ac:dyDescent="0.25">
      <c r="A183" s="211" t="s">
        <v>284</v>
      </c>
      <c r="B183" s="241">
        <f>2000+250</f>
        <v>2250</v>
      </c>
      <c r="C183" s="244"/>
      <c r="D183" s="244"/>
      <c r="E183" s="244"/>
      <c r="F183" s="244"/>
      <c r="G183" s="244"/>
      <c r="H183" s="241">
        <f t="shared" si="348"/>
        <v>2250</v>
      </c>
      <c r="J183" s="241">
        <v>2300</v>
      </c>
      <c r="K183" s="244"/>
      <c r="L183" s="244"/>
      <c r="M183" s="244"/>
      <c r="N183" s="244"/>
      <c r="O183" s="244"/>
      <c r="P183" s="241">
        <f t="shared" si="349"/>
        <v>2300</v>
      </c>
      <c r="R183" s="241">
        <f>2000+250</f>
        <v>2250</v>
      </c>
      <c r="S183" s="244"/>
      <c r="T183" s="244"/>
      <c r="U183" s="244"/>
      <c r="V183" s="244"/>
      <c r="W183" s="244"/>
      <c r="X183" s="241">
        <f t="shared" si="350"/>
        <v>2250</v>
      </c>
      <c r="Z183" s="241">
        <f>2000+100</f>
        <v>2100</v>
      </c>
      <c r="AA183" s="244"/>
      <c r="AB183" s="244"/>
      <c r="AC183" s="244"/>
      <c r="AD183" s="244"/>
      <c r="AE183" s="244"/>
      <c r="AF183" s="241">
        <f t="shared" si="351"/>
        <v>2100</v>
      </c>
      <c r="AH183" s="241">
        <f>2500+150</f>
        <v>2650</v>
      </c>
      <c r="AI183" s="244"/>
      <c r="AJ183" s="244"/>
      <c r="AK183" s="244"/>
      <c r="AL183" s="244"/>
      <c r="AM183" s="244"/>
      <c r="AN183" s="241">
        <f t="shared" si="352"/>
        <v>2650</v>
      </c>
      <c r="AP183" s="241">
        <v>2000</v>
      </c>
      <c r="AQ183" s="244"/>
      <c r="AR183" s="244"/>
      <c r="AS183" s="244"/>
      <c r="AT183" s="244"/>
      <c r="AU183" s="244"/>
      <c r="AV183" s="241">
        <f t="shared" si="353"/>
        <v>2000</v>
      </c>
      <c r="AX183" s="241">
        <f>750+150</f>
        <v>900</v>
      </c>
      <c r="AY183" s="244"/>
      <c r="AZ183" s="244"/>
      <c r="BA183" s="244"/>
      <c r="BB183" s="244"/>
      <c r="BC183" s="244"/>
      <c r="BD183" s="241">
        <f t="shared" si="354"/>
        <v>900</v>
      </c>
      <c r="BF183" s="241">
        <v>8500</v>
      </c>
      <c r="BG183" s="242"/>
      <c r="BH183" s="242"/>
      <c r="BI183" s="242"/>
      <c r="BJ183" s="242"/>
      <c r="BK183" s="242"/>
      <c r="BL183" s="241">
        <f t="shared" si="355"/>
        <v>8500</v>
      </c>
      <c r="BN183" s="241">
        <f t="shared" si="356"/>
        <v>22950</v>
      </c>
      <c r="BO183" s="241">
        <f t="shared" si="347"/>
        <v>0</v>
      </c>
      <c r="BP183" s="241">
        <f t="shared" si="347"/>
        <v>0</v>
      </c>
      <c r="BQ183" s="241">
        <f t="shared" si="347"/>
        <v>0</v>
      </c>
      <c r="BR183" s="241">
        <f t="shared" si="347"/>
        <v>0</v>
      </c>
      <c r="BS183" s="241">
        <f t="shared" si="347"/>
        <v>0</v>
      </c>
      <c r="BT183" s="241">
        <f t="shared" si="357"/>
        <v>22950</v>
      </c>
    </row>
    <row r="184" spans="1:72" x14ac:dyDescent="0.25">
      <c r="A184" s="211" t="s">
        <v>285</v>
      </c>
      <c r="B184" s="241">
        <f>1000+50</f>
        <v>1050</v>
      </c>
      <c r="C184" s="244"/>
      <c r="D184" s="244"/>
      <c r="E184" s="244"/>
      <c r="F184" s="244"/>
      <c r="G184" s="244"/>
      <c r="H184" s="241">
        <f t="shared" si="348"/>
        <v>1050</v>
      </c>
      <c r="J184" s="241">
        <v>2100</v>
      </c>
      <c r="K184" s="244"/>
      <c r="L184" s="244"/>
      <c r="M184" s="244"/>
      <c r="N184" s="244"/>
      <c r="O184" s="244"/>
      <c r="P184" s="241">
        <f t="shared" si="349"/>
        <v>2100</v>
      </c>
      <c r="R184" s="241">
        <f>1000+100</f>
        <v>1100</v>
      </c>
      <c r="S184" s="244"/>
      <c r="T184" s="244"/>
      <c r="U184" s="244"/>
      <c r="V184" s="244"/>
      <c r="W184" s="244"/>
      <c r="X184" s="241">
        <f t="shared" si="350"/>
        <v>1100</v>
      </c>
      <c r="Z184" s="241">
        <f>1000+50</f>
        <v>1050</v>
      </c>
      <c r="AA184" s="244"/>
      <c r="AB184" s="244"/>
      <c r="AC184" s="244"/>
      <c r="AD184" s="244"/>
      <c r="AE184" s="244"/>
      <c r="AF184" s="241">
        <f t="shared" si="351"/>
        <v>1050</v>
      </c>
      <c r="AH184" s="241">
        <f>1200+50</f>
        <v>1250</v>
      </c>
      <c r="AI184" s="244"/>
      <c r="AJ184" s="244"/>
      <c r="AK184" s="244"/>
      <c r="AL184" s="244"/>
      <c r="AM184" s="244"/>
      <c r="AN184" s="241">
        <f t="shared" si="352"/>
        <v>1250</v>
      </c>
      <c r="AP184" s="241">
        <v>1200</v>
      </c>
      <c r="AQ184" s="244"/>
      <c r="AR184" s="244"/>
      <c r="AS184" s="244"/>
      <c r="AT184" s="244"/>
      <c r="AU184" s="244"/>
      <c r="AV184" s="241">
        <f t="shared" si="353"/>
        <v>1200</v>
      </c>
      <c r="AX184" s="241">
        <f>500+50</f>
        <v>550</v>
      </c>
      <c r="AY184" s="244"/>
      <c r="AZ184" s="244"/>
      <c r="BA184" s="244"/>
      <c r="BB184" s="244"/>
      <c r="BC184" s="244"/>
      <c r="BD184" s="241">
        <f t="shared" si="354"/>
        <v>550</v>
      </c>
      <c r="BF184" s="241"/>
      <c r="BG184" s="242"/>
      <c r="BH184" s="242"/>
      <c r="BI184" s="242"/>
      <c r="BJ184" s="242"/>
      <c r="BK184" s="242"/>
      <c r="BL184" s="241">
        <f t="shared" si="355"/>
        <v>0</v>
      </c>
      <c r="BN184" s="241">
        <f t="shared" si="356"/>
        <v>8300</v>
      </c>
      <c r="BO184" s="241">
        <f t="shared" si="347"/>
        <v>0</v>
      </c>
      <c r="BP184" s="241">
        <f t="shared" si="347"/>
        <v>0</v>
      </c>
      <c r="BQ184" s="241">
        <f t="shared" si="347"/>
        <v>0</v>
      </c>
      <c r="BR184" s="241">
        <f t="shared" si="347"/>
        <v>0</v>
      </c>
      <c r="BS184" s="241">
        <f t="shared" si="347"/>
        <v>0</v>
      </c>
      <c r="BT184" s="241">
        <f t="shared" si="357"/>
        <v>8300</v>
      </c>
    </row>
    <row r="185" spans="1:72" x14ac:dyDescent="0.25">
      <c r="A185" s="211" t="s">
        <v>286</v>
      </c>
      <c r="B185" s="244">
        <f>((8*950)+1200+3500+4500)*1.01</f>
        <v>16968</v>
      </c>
      <c r="C185" s="244"/>
      <c r="D185" s="244"/>
      <c r="E185" s="244"/>
      <c r="F185" s="244"/>
      <c r="G185" s="244"/>
      <c r="H185" s="241">
        <f t="shared" si="348"/>
        <v>16968</v>
      </c>
      <c r="J185" s="244">
        <f>((8*2500)+1200+3500+6500+7500)*1.01</f>
        <v>39087</v>
      </c>
      <c r="K185" s="244"/>
      <c r="L185" s="244"/>
      <c r="M185" s="244"/>
      <c r="N185" s="244"/>
      <c r="O185" s="244"/>
      <c r="P185" s="241">
        <f t="shared" si="349"/>
        <v>39087</v>
      </c>
      <c r="R185" s="244">
        <f>((8*1050)+1200+3500+4500)*1.01</f>
        <v>17776</v>
      </c>
      <c r="S185" s="244"/>
      <c r="T185" s="244"/>
      <c r="U185" s="244"/>
      <c r="V185" s="244"/>
      <c r="W185" s="244"/>
      <c r="X185" s="241">
        <f t="shared" si="350"/>
        <v>17776</v>
      </c>
      <c r="Z185" s="244">
        <f>((8*1200)+1200+3500+4500)*1.01</f>
        <v>18988</v>
      </c>
      <c r="AA185" s="244"/>
      <c r="AB185" s="244"/>
      <c r="AC185" s="244"/>
      <c r="AD185" s="244"/>
      <c r="AE185" s="244"/>
      <c r="AF185" s="241">
        <f t="shared" si="351"/>
        <v>18988</v>
      </c>
      <c r="AH185" s="244">
        <f>((8*2500)+1200+3500+7500+5000)*1.01</f>
        <v>37572</v>
      </c>
      <c r="AI185" s="244"/>
      <c r="AJ185" s="244"/>
      <c r="AK185" s="244"/>
      <c r="AL185" s="244"/>
      <c r="AM185" s="244"/>
      <c r="AN185" s="241">
        <f t="shared" si="352"/>
        <v>37572</v>
      </c>
      <c r="AP185" s="244">
        <f>(8*AP17)+1200+2500+3500+2500</f>
        <v>15204</v>
      </c>
      <c r="AQ185" s="244"/>
      <c r="AR185" s="244"/>
      <c r="AS185" s="244"/>
      <c r="AT185" s="244"/>
      <c r="AU185" s="244"/>
      <c r="AV185" s="241">
        <f t="shared" si="353"/>
        <v>15204</v>
      </c>
      <c r="AX185" s="244">
        <f>(8*350)+1200+2500</f>
        <v>6500</v>
      </c>
      <c r="AY185" s="244"/>
      <c r="AZ185" s="244"/>
      <c r="BA185" s="244"/>
      <c r="BB185" s="244"/>
      <c r="BC185" s="244"/>
      <c r="BD185" s="241">
        <f t="shared" si="354"/>
        <v>6500</v>
      </c>
      <c r="BF185" s="242">
        <f>1550*12</f>
        <v>18600</v>
      </c>
      <c r="BG185" s="242"/>
      <c r="BH185" s="242"/>
      <c r="BI185" s="242"/>
      <c r="BJ185" s="242"/>
      <c r="BK185" s="242"/>
      <c r="BL185" s="241">
        <f t="shared" si="355"/>
        <v>18600</v>
      </c>
      <c r="BN185" s="241">
        <f t="shared" si="356"/>
        <v>170695</v>
      </c>
      <c r="BO185" s="241">
        <f t="shared" si="347"/>
        <v>0</v>
      </c>
      <c r="BP185" s="241">
        <f t="shared" si="347"/>
        <v>0</v>
      </c>
      <c r="BQ185" s="241">
        <f t="shared" si="347"/>
        <v>0</v>
      </c>
      <c r="BR185" s="241">
        <f t="shared" si="347"/>
        <v>0</v>
      </c>
      <c r="BS185" s="241">
        <f t="shared" si="347"/>
        <v>0</v>
      </c>
      <c r="BT185" s="241">
        <f t="shared" si="357"/>
        <v>170695</v>
      </c>
    </row>
    <row r="186" spans="1:72" x14ac:dyDescent="0.25">
      <c r="A186" s="211" t="s">
        <v>264</v>
      </c>
      <c r="B186" s="244"/>
      <c r="C186" s="244"/>
      <c r="D186" s="244"/>
      <c r="E186" s="244"/>
      <c r="F186" s="244"/>
      <c r="G186" s="244"/>
      <c r="H186" s="241">
        <f t="shared" si="348"/>
        <v>0</v>
      </c>
      <c r="J186" s="244">
        <v>52500</v>
      </c>
      <c r="K186" s="244"/>
      <c r="L186" s="244"/>
      <c r="M186" s="244"/>
      <c r="N186" s="244"/>
      <c r="O186" s="244"/>
      <c r="P186" s="241">
        <f t="shared" si="349"/>
        <v>52500</v>
      </c>
      <c r="R186" s="244"/>
      <c r="S186" s="244"/>
      <c r="T186" s="244"/>
      <c r="U186" s="244"/>
      <c r="V186" s="244"/>
      <c r="W186" s="244"/>
      <c r="X186" s="241">
        <f t="shared" si="350"/>
        <v>0</v>
      </c>
      <c r="Z186" s="244"/>
      <c r="AA186" s="244"/>
      <c r="AB186" s="244"/>
      <c r="AC186" s="244"/>
      <c r="AD186" s="244"/>
      <c r="AE186" s="244"/>
      <c r="AF186" s="241">
        <f t="shared" si="351"/>
        <v>0</v>
      </c>
      <c r="AH186" s="244">
        <f>50000+2500</f>
        <v>52500</v>
      </c>
      <c r="AI186" s="244"/>
      <c r="AJ186" s="244"/>
      <c r="AK186" s="244"/>
      <c r="AL186" s="244"/>
      <c r="AM186" s="244"/>
      <c r="AN186" s="241">
        <f t="shared" si="352"/>
        <v>52500</v>
      </c>
      <c r="AP186" s="244"/>
      <c r="AQ186" s="244"/>
      <c r="AR186" s="244"/>
      <c r="AS186" s="244"/>
      <c r="AT186" s="244"/>
      <c r="AU186" s="244"/>
      <c r="AV186" s="241">
        <f t="shared" si="353"/>
        <v>0</v>
      </c>
      <c r="AX186" s="244"/>
      <c r="AY186" s="244"/>
      <c r="AZ186" s="244"/>
      <c r="BA186" s="244"/>
      <c r="BB186" s="244"/>
      <c r="BC186" s="244"/>
      <c r="BD186" s="241">
        <f t="shared" si="354"/>
        <v>0</v>
      </c>
      <c r="BF186" s="242"/>
      <c r="BG186" s="242"/>
      <c r="BH186" s="242"/>
      <c r="BI186" s="242"/>
      <c r="BJ186" s="242"/>
      <c r="BK186" s="242"/>
      <c r="BL186" s="241">
        <f t="shared" si="355"/>
        <v>0</v>
      </c>
      <c r="BN186" s="241">
        <f t="shared" si="356"/>
        <v>105000</v>
      </c>
      <c r="BO186" s="241">
        <f t="shared" si="347"/>
        <v>0</v>
      </c>
      <c r="BP186" s="241">
        <f t="shared" si="347"/>
        <v>0</v>
      </c>
      <c r="BQ186" s="241">
        <f t="shared" si="347"/>
        <v>0</v>
      </c>
      <c r="BR186" s="241">
        <f t="shared" si="347"/>
        <v>0</v>
      </c>
      <c r="BS186" s="241">
        <f t="shared" si="347"/>
        <v>0</v>
      </c>
      <c r="BT186" s="241">
        <f t="shared" si="357"/>
        <v>105000</v>
      </c>
    </row>
    <row r="187" spans="1:72" x14ac:dyDescent="0.25">
      <c r="A187" s="211" t="s">
        <v>287</v>
      </c>
      <c r="B187" s="244"/>
      <c r="C187" s="244"/>
      <c r="D187" s="244"/>
      <c r="E187" s="244"/>
      <c r="F187" s="244"/>
      <c r="G187" s="244"/>
      <c r="H187" s="241">
        <f t="shared" si="348"/>
        <v>0</v>
      </c>
      <c r="J187" s="244">
        <v>0</v>
      </c>
      <c r="K187" s="244"/>
      <c r="L187" s="244"/>
      <c r="M187" s="244"/>
      <c r="N187" s="244"/>
      <c r="O187" s="244"/>
      <c r="P187" s="241">
        <f t="shared" si="349"/>
        <v>0</v>
      </c>
      <c r="R187" s="244"/>
      <c r="S187" s="244"/>
      <c r="T187" s="244"/>
      <c r="U187" s="244"/>
      <c r="V187" s="244"/>
      <c r="W187" s="244"/>
      <c r="X187" s="241">
        <f t="shared" si="350"/>
        <v>0</v>
      </c>
      <c r="Z187" s="244"/>
      <c r="AA187" s="244"/>
      <c r="AB187" s="244"/>
      <c r="AC187" s="244"/>
      <c r="AD187" s="244"/>
      <c r="AE187" s="244"/>
      <c r="AF187" s="241">
        <f t="shared" si="351"/>
        <v>0</v>
      </c>
      <c r="AH187" s="244"/>
      <c r="AI187" s="244"/>
      <c r="AJ187" s="244"/>
      <c r="AK187" s="244"/>
      <c r="AL187" s="244"/>
      <c r="AM187" s="244"/>
      <c r="AN187" s="241">
        <f t="shared" si="352"/>
        <v>0</v>
      </c>
      <c r="AP187" s="243">
        <v>192500</v>
      </c>
      <c r="AQ187" s="244"/>
      <c r="AR187" s="244"/>
      <c r="AS187" s="244"/>
      <c r="AT187" s="244"/>
      <c r="AU187" s="244"/>
      <c r="AV187" s="241">
        <f t="shared" si="353"/>
        <v>192500</v>
      </c>
      <c r="AX187" s="244"/>
      <c r="AY187" s="244"/>
      <c r="AZ187" s="244"/>
      <c r="BA187" s="244"/>
      <c r="BB187" s="244"/>
      <c r="BC187" s="244"/>
      <c r="BD187" s="241">
        <f t="shared" si="354"/>
        <v>0</v>
      </c>
      <c r="BF187" s="242"/>
      <c r="BG187" s="242"/>
      <c r="BH187" s="242"/>
      <c r="BI187" s="242"/>
      <c r="BJ187" s="242"/>
      <c r="BK187" s="242"/>
      <c r="BL187" s="241">
        <f t="shared" si="355"/>
        <v>0</v>
      </c>
      <c r="BN187" s="241">
        <f t="shared" si="356"/>
        <v>192500</v>
      </c>
      <c r="BO187" s="241">
        <f t="shared" si="347"/>
        <v>0</v>
      </c>
      <c r="BP187" s="241">
        <f t="shared" si="347"/>
        <v>0</v>
      </c>
      <c r="BQ187" s="241">
        <f t="shared" si="347"/>
        <v>0</v>
      </c>
      <c r="BR187" s="241">
        <f t="shared" si="347"/>
        <v>0</v>
      </c>
      <c r="BS187" s="241">
        <f t="shared" si="347"/>
        <v>0</v>
      </c>
      <c r="BT187" s="241">
        <f t="shared" si="357"/>
        <v>192500</v>
      </c>
    </row>
    <row r="188" spans="1:72" x14ac:dyDescent="0.25">
      <c r="A188" s="211" t="s">
        <v>288</v>
      </c>
      <c r="B188" s="244">
        <v>0</v>
      </c>
      <c r="C188" s="244"/>
      <c r="D188" s="244"/>
      <c r="E188" s="244"/>
      <c r="F188" s="244"/>
      <c r="G188" s="244"/>
      <c r="H188" s="241">
        <f t="shared" si="348"/>
        <v>0</v>
      </c>
      <c r="J188" s="244">
        <v>0</v>
      </c>
      <c r="K188" s="244"/>
      <c r="L188" s="244"/>
      <c r="M188" s="244"/>
      <c r="N188" s="244"/>
      <c r="O188" s="244"/>
      <c r="P188" s="241">
        <f t="shared" si="349"/>
        <v>0</v>
      </c>
      <c r="R188" s="244">
        <v>0</v>
      </c>
      <c r="S188" s="244"/>
      <c r="T188" s="244"/>
      <c r="U188" s="244"/>
      <c r="V188" s="244"/>
      <c r="W188" s="244"/>
      <c r="X188" s="241">
        <f t="shared" si="350"/>
        <v>0</v>
      </c>
      <c r="Z188" s="244">
        <v>0</v>
      </c>
      <c r="AA188" s="244"/>
      <c r="AB188" s="244"/>
      <c r="AC188" s="244"/>
      <c r="AD188" s="244"/>
      <c r="AE188" s="244"/>
      <c r="AF188" s="241">
        <f t="shared" si="351"/>
        <v>0</v>
      </c>
      <c r="AH188" s="244">
        <v>0</v>
      </c>
      <c r="AI188" s="244"/>
      <c r="AJ188" s="244"/>
      <c r="AK188" s="244"/>
      <c r="AL188" s="244"/>
      <c r="AM188" s="244"/>
      <c r="AN188" s="241">
        <f t="shared" si="352"/>
        <v>0</v>
      </c>
      <c r="AP188" s="244">
        <v>0</v>
      </c>
      <c r="AQ188" s="244"/>
      <c r="AR188" s="244"/>
      <c r="AS188" s="244"/>
      <c r="AT188" s="244"/>
      <c r="AU188" s="244"/>
      <c r="AV188" s="241">
        <f t="shared" si="353"/>
        <v>0</v>
      </c>
      <c r="AX188" s="244">
        <v>0</v>
      </c>
      <c r="AY188" s="244"/>
      <c r="AZ188" s="244"/>
      <c r="BA188" s="244"/>
      <c r="BB188" s="244"/>
      <c r="BC188" s="244"/>
      <c r="BD188" s="241">
        <f t="shared" si="354"/>
        <v>0</v>
      </c>
      <c r="BF188" s="242"/>
      <c r="BG188" s="242"/>
      <c r="BH188" s="242"/>
      <c r="BI188" s="242"/>
      <c r="BJ188" s="242"/>
      <c r="BK188" s="242"/>
      <c r="BL188" s="241">
        <f t="shared" si="355"/>
        <v>0</v>
      </c>
      <c r="BN188" s="241">
        <f t="shared" si="356"/>
        <v>0</v>
      </c>
      <c r="BO188" s="241">
        <f t="shared" si="347"/>
        <v>0</v>
      </c>
      <c r="BP188" s="241">
        <f t="shared" si="347"/>
        <v>0</v>
      </c>
      <c r="BQ188" s="241">
        <f t="shared" si="347"/>
        <v>0</v>
      </c>
      <c r="BR188" s="241">
        <f t="shared" si="347"/>
        <v>0</v>
      </c>
      <c r="BS188" s="241">
        <f t="shared" si="347"/>
        <v>0</v>
      </c>
      <c r="BT188" s="241">
        <f t="shared" si="357"/>
        <v>0</v>
      </c>
    </row>
    <row r="189" spans="1:72" x14ac:dyDescent="0.25">
      <c r="A189" s="211" t="s">
        <v>289</v>
      </c>
      <c r="B189" s="244"/>
      <c r="C189" s="244"/>
      <c r="D189" s="244"/>
      <c r="E189" s="244"/>
      <c r="F189" s="244"/>
      <c r="G189" s="244"/>
      <c r="H189" s="241">
        <f t="shared" si="348"/>
        <v>0</v>
      </c>
      <c r="J189" s="244"/>
      <c r="K189" s="244"/>
      <c r="L189" s="244"/>
      <c r="M189" s="244"/>
      <c r="N189" s="244"/>
      <c r="O189" s="244"/>
      <c r="P189" s="241">
        <f t="shared" si="349"/>
        <v>0</v>
      </c>
      <c r="R189" s="244"/>
      <c r="S189" s="244"/>
      <c r="T189" s="244"/>
      <c r="U189" s="244"/>
      <c r="V189" s="244"/>
      <c r="W189" s="244"/>
      <c r="X189" s="241">
        <f t="shared" si="350"/>
        <v>0</v>
      </c>
      <c r="Z189" s="244"/>
      <c r="AA189" s="244"/>
      <c r="AB189" s="244"/>
      <c r="AC189" s="244"/>
      <c r="AD189" s="244"/>
      <c r="AE189" s="244"/>
      <c r="AF189" s="241">
        <f t="shared" si="351"/>
        <v>0</v>
      </c>
      <c r="AH189" s="244"/>
      <c r="AI189" s="244"/>
      <c r="AJ189" s="244"/>
      <c r="AK189" s="244"/>
      <c r="AL189" s="244"/>
      <c r="AM189" s="244"/>
      <c r="AN189" s="241">
        <f t="shared" si="352"/>
        <v>0</v>
      </c>
      <c r="AP189" s="244"/>
      <c r="AQ189" s="244"/>
      <c r="AR189" s="244"/>
      <c r="AS189" s="244"/>
      <c r="AT189" s="244"/>
      <c r="AU189" s="244"/>
      <c r="AV189" s="241">
        <f t="shared" si="353"/>
        <v>0</v>
      </c>
      <c r="AX189" s="244"/>
      <c r="AY189" s="244"/>
      <c r="AZ189" s="244"/>
      <c r="BA189" s="244"/>
      <c r="BB189" s="244"/>
      <c r="BC189" s="244"/>
      <c r="BD189" s="241">
        <f t="shared" si="354"/>
        <v>0</v>
      </c>
      <c r="BF189" s="242"/>
      <c r="BG189" s="242"/>
      <c r="BH189" s="242"/>
      <c r="BI189" s="242"/>
      <c r="BJ189" s="242"/>
      <c r="BK189" s="242"/>
      <c r="BL189" s="241">
        <f t="shared" si="355"/>
        <v>0</v>
      </c>
      <c r="BN189" s="241">
        <f t="shared" si="356"/>
        <v>0</v>
      </c>
      <c r="BO189" s="241">
        <f t="shared" si="347"/>
        <v>0</v>
      </c>
      <c r="BP189" s="241">
        <f t="shared" si="347"/>
        <v>0</v>
      </c>
      <c r="BQ189" s="241">
        <f t="shared" si="347"/>
        <v>0</v>
      </c>
      <c r="BR189" s="241">
        <f t="shared" si="347"/>
        <v>0</v>
      </c>
      <c r="BS189" s="241">
        <f t="shared" si="347"/>
        <v>0</v>
      </c>
      <c r="BT189" s="241">
        <f t="shared" si="357"/>
        <v>0</v>
      </c>
    </row>
    <row r="190" spans="1:72" x14ac:dyDescent="0.25">
      <c r="A190" s="211" t="s">
        <v>290</v>
      </c>
      <c r="B190" s="244"/>
      <c r="C190" s="244"/>
      <c r="D190" s="244"/>
      <c r="E190" s="244"/>
      <c r="F190" s="244"/>
      <c r="G190" s="244"/>
      <c r="H190" s="241">
        <f t="shared" si="348"/>
        <v>0</v>
      </c>
      <c r="J190" s="244"/>
      <c r="K190" s="244"/>
      <c r="L190" s="244"/>
      <c r="M190" s="244"/>
      <c r="N190" s="244"/>
      <c r="O190" s="244"/>
      <c r="P190" s="241">
        <f t="shared" si="349"/>
        <v>0</v>
      </c>
      <c r="R190" s="244"/>
      <c r="S190" s="244"/>
      <c r="T190" s="244"/>
      <c r="U190" s="244"/>
      <c r="V190" s="244"/>
      <c r="W190" s="244"/>
      <c r="X190" s="241">
        <f t="shared" si="350"/>
        <v>0</v>
      </c>
      <c r="Z190" s="244"/>
      <c r="AA190" s="244"/>
      <c r="AB190" s="244"/>
      <c r="AC190" s="244"/>
      <c r="AD190" s="244"/>
      <c r="AE190" s="244"/>
      <c r="AF190" s="241">
        <f t="shared" si="351"/>
        <v>0</v>
      </c>
      <c r="AH190" s="244"/>
      <c r="AI190" s="244"/>
      <c r="AJ190" s="244"/>
      <c r="AK190" s="244"/>
      <c r="AL190" s="244"/>
      <c r="AM190" s="244"/>
      <c r="AN190" s="241">
        <f t="shared" si="352"/>
        <v>0</v>
      </c>
      <c r="AP190" s="244"/>
      <c r="AQ190" s="244"/>
      <c r="AR190" s="244"/>
      <c r="AS190" s="244"/>
      <c r="AT190" s="244"/>
      <c r="AU190" s="244"/>
      <c r="AV190" s="241">
        <f t="shared" si="353"/>
        <v>0</v>
      </c>
      <c r="AX190" s="244"/>
      <c r="AY190" s="244"/>
      <c r="AZ190" s="244"/>
      <c r="BA190" s="244"/>
      <c r="BB190" s="244"/>
      <c r="BC190" s="244"/>
      <c r="BD190" s="241">
        <f t="shared" si="354"/>
        <v>0</v>
      </c>
      <c r="BF190" s="242"/>
      <c r="BG190" s="242"/>
      <c r="BH190" s="242"/>
      <c r="BI190" s="242"/>
      <c r="BJ190" s="242"/>
      <c r="BK190" s="242"/>
      <c r="BL190" s="241">
        <f t="shared" si="355"/>
        <v>0</v>
      </c>
      <c r="BN190" s="241">
        <f t="shared" si="356"/>
        <v>0</v>
      </c>
      <c r="BO190" s="241">
        <f t="shared" si="356"/>
        <v>0</v>
      </c>
      <c r="BP190" s="241">
        <f t="shared" si="356"/>
        <v>0</v>
      </c>
      <c r="BQ190" s="241">
        <f t="shared" si="356"/>
        <v>0</v>
      </c>
      <c r="BR190" s="241">
        <f t="shared" si="356"/>
        <v>0</v>
      </c>
      <c r="BS190" s="241">
        <f t="shared" si="356"/>
        <v>0</v>
      </c>
      <c r="BT190" s="241">
        <f t="shared" si="357"/>
        <v>0</v>
      </c>
    </row>
    <row r="191" spans="1:72" x14ac:dyDescent="0.25">
      <c r="A191" s="211" t="s">
        <v>291</v>
      </c>
      <c r="B191" s="244"/>
      <c r="C191" s="244"/>
      <c r="D191" s="244"/>
      <c r="E191" s="244"/>
      <c r="F191" s="244"/>
      <c r="G191" s="244">
        <f>G79</f>
        <v>300000</v>
      </c>
      <c r="H191" s="241">
        <f t="shared" si="348"/>
        <v>300000</v>
      </c>
      <c r="J191" s="244"/>
      <c r="K191" s="244"/>
      <c r="L191" s="244"/>
      <c r="M191" s="244"/>
      <c r="N191" s="244"/>
      <c r="O191" s="244">
        <f>O79</f>
        <v>1500000</v>
      </c>
      <c r="P191" s="241">
        <f t="shared" si="349"/>
        <v>1500000</v>
      </c>
      <c r="R191" s="244"/>
      <c r="S191" s="244"/>
      <c r="T191" s="244"/>
      <c r="U191" s="244"/>
      <c r="V191" s="244"/>
      <c r="W191" s="244">
        <f>W79</f>
        <v>850000</v>
      </c>
      <c r="X191" s="241">
        <f t="shared" si="350"/>
        <v>850000</v>
      </c>
      <c r="Z191" s="244"/>
      <c r="AA191" s="244"/>
      <c r="AB191" s="244"/>
      <c r="AC191" s="244"/>
      <c r="AD191" s="244"/>
      <c r="AE191" s="244">
        <f>AE79</f>
        <v>900000</v>
      </c>
      <c r="AF191" s="241">
        <f t="shared" si="351"/>
        <v>900000</v>
      </c>
      <c r="AH191" s="244"/>
      <c r="AI191" s="244"/>
      <c r="AJ191" s="244"/>
      <c r="AK191" s="244"/>
      <c r="AL191" s="244"/>
      <c r="AM191" s="244">
        <f>AM79</f>
        <v>2500000</v>
      </c>
      <c r="AN191" s="241">
        <f t="shared" si="352"/>
        <v>2500000</v>
      </c>
      <c r="AP191" s="244"/>
      <c r="AQ191" s="244"/>
      <c r="AR191" s="244"/>
      <c r="AS191" s="244"/>
      <c r="AT191" s="244"/>
      <c r="AU191" s="244">
        <f>AU79</f>
        <v>100000</v>
      </c>
      <c r="AV191" s="241">
        <f t="shared" si="353"/>
        <v>100000</v>
      </c>
      <c r="AX191" s="244"/>
      <c r="AY191" s="244"/>
      <c r="AZ191" s="244"/>
      <c r="BA191" s="244"/>
      <c r="BB191" s="244"/>
      <c r="BC191" s="244">
        <f>BC79</f>
        <v>25000</v>
      </c>
      <c r="BD191" s="241">
        <f t="shared" si="354"/>
        <v>25000</v>
      </c>
      <c r="BF191" s="242"/>
      <c r="BG191" s="242"/>
      <c r="BH191" s="242"/>
      <c r="BI191" s="242"/>
      <c r="BJ191" s="242"/>
      <c r="BK191" s="242"/>
      <c r="BL191" s="241">
        <f t="shared" si="355"/>
        <v>0</v>
      </c>
      <c r="BN191" s="241">
        <f t="shared" si="356"/>
        <v>0</v>
      </c>
      <c r="BO191" s="241">
        <f t="shared" si="356"/>
        <v>0</v>
      </c>
      <c r="BP191" s="241">
        <f t="shared" si="356"/>
        <v>0</v>
      </c>
      <c r="BQ191" s="241">
        <f t="shared" si="356"/>
        <v>0</v>
      </c>
      <c r="BR191" s="241">
        <f t="shared" si="356"/>
        <v>0</v>
      </c>
      <c r="BS191" s="241">
        <f t="shared" si="356"/>
        <v>6175000</v>
      </c>
      <c r="BT191" s="241">
        <f t="shared" si="357"/>
        <v>6175000</v>
      </c>
    </row>
    <row r="192" spans="1:72" x14ac:dyDescent="0.25">
      <c r="A192" s="211" t="s">
        <v>292</v>
      </c>
      <c r="B192" s="244">
        <v>3500</v>
      </c>
      <c r="C192" s="244"/>
      <c r="D192" s="244"/>
      <c r="E192" s="244"/>
      <c r="F192" s="244"/>
      <c r="G192" s="244"/>
      <c r="H192" s="241">
        <f t="shared" si="348"/>
        <v>3500</v>
      </c>
      <c r="J192" s="244">
        <v>5000</v>
      </c>
      <c r="K192" s="244"/>
      <c r="L192" s="244"/>
      <c r="M192" s="244"/>
      <c r="N192" s="244">
        <v>49770</v>
      </c>
      <c r="O192" s="244"/>
      <c r="P192" s="241">
        <f t="shared" si="349"/>
        <v>54770</v>
      </c>
      <c r="R192" s="244">
        <v>5000</v>
      </c>
      <c r="S192" s="244"/>
      <c r="T192" s="244"/>
      <c r="U192" s="244"/>
      <c r="V192" s="244"/>
      <c r="W192" s="244"/>
      <c r="X192" s="241">
        <f t="shared" si="350"/>
        <v>5000</v>
      </c>
      <c r="Z192" s="244">
        <v>5000</v>
      </c>
      <c r="AA192" s="244"/>
      <c r="AB192" s="244"/>
      <c r="AC192" s="244"/>
      <c r="AD192" s="244"/>
      <c r="AE192" s="244"/>
      <c r="AF192" s="241">
        <f t="shared" si="351"/>
        <v>5000</v>
      </c>
      <c r="AH192" s="244">
        <v>5000</v>
      </c>
      <c r="AI192" s="244"/>
      <c r="AJ192" s="244"/>
      <c r="AK192" s="244"/>
      <c r="AL192" s="244"/>
      <c r="AM192" s="244"/>
      <c r="AN192" s="241">
        <f t="shared" si="352"/>
        <v>5000</v>
      </c>
      <c r="AP192" s="244">
        <v>2500</v>
      </c>
      <c r="AQ192" s="244"/>
      <c r="AR192" s="244"/>
      <c r="AS192" s="244"/>
      <c r="AT192" s="244"/>
      <c r="AU192" s="244"/>
      <c r="AV192" s="241">
        <f t="shared" si="353"/>
        <v>2500</v>
      </c>
      <c r="AX192" s="244">
        <v>1000</v>
      </c>
      <c r="AY192" s="244"/>
      <c r="AZ192" s="244"/>
      <c r="BA192" s="244"/>
      <c r="BB192" s="244"/>
      <c r="BC192" s="244"/>
      <c r="BD192" s="241">
        <f t="shared" si="354"/>
        <v>1000</v>
      </c>
      <c r="BF192" s="242"/>
      <c r="BG192" s="242"/>
      <c r="BH192" s="242"/>
      <c r="BI192" s="242"/>
      <c r="BJ192" s="280">
        <f>145235+192192</f>
        <v>337427</v>
      </c>
      <c r="BK192" s="242"/>
      <c r="BL192" s="241">
        <f t="shared" si="355"/>
        <v>337427</v>
      </c>
      <c r="BN192" s="241">
        <f t="shared" si="356"/>
        <v>27000</v>
      </c>
      <c r="BO192" s="241">
        <f t="shared" si="356"/>
        <v>0</v>
      </c>
      <c r="BP192" s="241">
        <f t="shared" si="356"/>
        <v>0</v>
      </c>
      <c r="BQ192" s="241">
        <f t="shared" si="356"/>
        <v>0</v>
      </c>
      <c r="BR192" s="241">
        <f t="shared" si="356"/>
        <v>387197</v>
      </c>
      <c r="BS192" s="241">
        <f t="shared" si="356"/>
        <v>0</v>
      </c>
      <c r="BT192" s="241">
        <f t="shared" si="357"/>
        <v>414197</v>
      </c>
    </row>
    <row r="193" spans="1:73" x14ac:dyDescent="0.25">
      <c r="A193" s="212" t="s">
        <v>293</v>
      </c>
      <c r="B193" s="245">
        <f>B68*0.0155</f>
        <v>136299.59099999999</v>
      </c>
      <c r="C193" s="245"/>
      <c r="D193" s="245"/>
      <c r="E193" s="245"/>
      <c r="F193" s="245"/>
      <c r="G193" s="245"/>
      <c r="H193" s="241">
        <f>SUM(B193:G193)</f>
        <v>136299.59099999999</v>
      </c>
      <c r="J193" s="245">
        <f>J68*0.02</f>
        <v>476956.08</v>
      </c>
      <c r="K193" s="245"/>
      <c r="L193" s="245"/>
      <c r="M193" s="245"/>
      <c r="N193" s="245"/>
      <c r="O193" s="245"/>
      <c r="P193" s="241">
        <f>SUM(J193:O193)</f>
        <v>476956.08</v>
      </c>
      <c r="R193" s="245">
        <f>R68*0.015</f>
        <v>146558.69999999998</v>
      </c>
      <c r="S193" s="245"/>
      <c r="T193" s="245"/>
      <c r="U193" s="245"/>
      <c r="V193" s="245"/>
      <c r="W193" s="245"/>
      <c r="X193" s="241">
        <f>SUM(R193:W193)</f>
        <v>146558.69999999998</v>
      </c>
      <c r="Z193" s="245">
        <f>Z68*0.0225</f>
        <v>255695.13</v>
      </c>
      <c r="AA193" s="245"/>
      <c r="AB193" s="245"/>
      <c r="AC193" s="245"/>
      <c r="AD193" s="245"/>
      <c r="AE193" s="245"/>
      <c r="AF193" s="241">
        <f>SUM(Z193:AE193)</f>
        <v>255695.13</v>
      </c>
      <c r="AH193" s="245">
        <f>AH68*0.0125</f>
        <v>296200.35000000003</v>
      </c>
      <c r="AI193" s="245"/>
      <c r="AJ193" s="245"/>
      <c r="AK193" s="245"/>
      <c r="AL193" s="245"/>
      <c r="AM193" s="245"/>
      <c r="AN193" s="241">
        <f>SUM(AH193:AM193)</f>
        <v>296200.35000000003</v>
      </c>
      <c r="AP193" s="245"/>
      <c r="AQ193" s="245"/>
      <c r="AR193" s="245"/>
      <c r="AS193" s="245"/>
      <c r="AT193" s="245"/>
      <c r="AU193" s="245"/>
      <c r="AV193" s="241">
        <f>SUM(AP193:AU193)</f>
        <v>0</v>
      </c>
      <c r="AX193" s="245">
        <f>AX68*0.0275</f>
        <v>47477.43</v>
      </c>
      <c r="AY193" s="245"/>
      <c r="AZ193" s="245"/>
      <c r="BA193" s="245"/>
      <c r="BB193" s="245"/>
      <c r="BC193" s="245"/>
      <c r="BD193" s="241">
        <f>SUM(AX193:BC193)</f>
        <v>47477.43</v>
      </c>
      <c r="BF193" s="282"/>
      <c r="BG193" s="282"/>
      <c r="BH193" s="282"/>
      <c r="BI193" s="282"/>
      <c r="BJ193" s="282"/>
      <c r="BK193" s="282"/>
      <c r="BL193" s="241">
        <f>SUM(BF193:BK193)</f>
        <v>0</v>
      </c>
      <c r="BN193" s="241">
        <f t="shared" si="356"/>
        <v>1359187.281</v>
      </c>
      <c r="BO193" s="241">
        <f t="shared" si="356"/>
        <v>0</v>
      </c>
      <c r="BP193" s="241">
        <f t="shared" si="356"/>
        <v>0</v>
      </c>
      <c r="BQ193" s="241">
        <f t="shared" si="356"/>
        <v>0</v>
      </c>
      <c r="BR193" s="241">
        <f t="shared" si="356"/>
        <v>0</v>
      </c>
      <c r="BS193" s="241">
        <f t="shared" si="356"/>
        <v>0</v>
      </c>
      <c r="BT193" s="241">
        <f>SUM(BN193:BS193)</f>
        <v>1359187.281</v>
      </c>
      <c r="BU193" s="285">
        <f>BT193/BT68</f>
        <v>1.5855206373796612E-2</v>
      </c>
    </row>
    <row r="194" spans="1:73" x14ac:dyDescent="0.25">
      <c r="A194" s="213"/>
      <c r="B194" s="258">
        <f>SUM(B174:B193)</f>
        <v>329404.03949999996</v>
      </c>
      <c r="C194" s="258">
        <f t="shared" ref="C194:H194" si="358">SUM(C174:C193)</f>
        <v>0</v>
      </c>
      <c r="D194" s="258">
        <f t="shared" si="358"/>
        <v>214875</v>
      </c>
      <c r="E194" s="258">
        <f t="shared" si="358"/>
        <v>0</v>
      </c>
      <c r="F194" s="258">
        <f t="shared" si="358"/>
        <v>0</v>
      </c>
      <c r="G194" s="258">
        <f t="shared" si="358"/>
        <v>300000</v>
      </c>
      <c r="H194" s="258">
        <f t="shared" si="358"/>
        <v>844279.03949999996</v>
      </c>
      <c r="J194" s="258">
        <f>SUM(J174:J193)</f>
        <v>964024.60700000008</v>
      </c>
      <c r="K194" s="258">
        <f t="shared" ref="K194:P194" si="359">SUM(K174:K193)</f>
        <v>0</v>
      </c>
      <c r="L194" s="258">
        <f t="shared" si="359"/>
        <v>425925</v>
      </c>
      <c r="M194" s="258">
        <f t="shared" si="359"/>
        <v>0</v>
      </c>
      <c r="N194" s="258">
        <f t="shared" si="359"/>
        <v>49770</v>
      </c>
      <c r="O194" s="258">
        <f t="shared" si="359"/>
        <v>1500000</v>
      </c>
      <c r="P194" s="258">
        <f t="shared" si="359"/>
        <v>2939719.6069999998</v>
      </c>
      <c r="R194" s="258">
        <f>SUM(R174:R193)</f>
        <v>355038.86499999999</v>
      </c>
      <c r="S194" s="258">
        <f t="shared" ref="S194:X194" si="360">SUM(S174:S193)</f>
        <v>0</v>
      </c>
      <c r="T194" s="258">
        <f t="shared" si="360"/>
        <v>108405</v>
      </c>
      <c r="U194" s="258">
        <f t="shared" si="360"/>
        <v>0</v>
      </c>
      <c r="V194" s="258">
        <f t="shared" si="360"/>
        <v>0</v>
      </c>
      <c r="W194" s="258">
        <f t="shared" si="360"/>
        <v>850000</v>
      </c>
      <c r="X194" s="258">
        <f t="shared" si="360"/>
        <v>1313443.865</v>
      </c>
      <c r="Z194" s="258">
        <f>SUM(Z174:Z193)</f>
        <v>503916.55599999998</v>
      </c>
      <c r="AA194" s="258">
        <f t="shared" ref="AA194:AF194" si="361">SUM(AA174:AA193)</f>
        <v>0</v>
      </c>
      <c r="AB194" s="258">
        <f t="shared" si="361"/>
        <v>68985</v>
      </c>
      <c r="AC194" s="258">
        <f t="shared" si="361"/>
        <v>0</v>
      </c>
      <c r="AD194" s="258">
        <f t="shared" si="361"/>
        <v>0</v>
      </c>
      <c r="AE194" s="258">
        <f t="shared" si="361"/>
        <v>900000</v>
      </c>
      <c r="AF194" s="258">
        <f t="shared" si="361"/>
        <v>1472901.5559999999</v>
      </c>
      <c r="AH194" s="258">
        <f>SUM(AH174:AH193)</f>
        <v>768558.87599999993</v>
      </c>
      <c r="AI194" s="258">
        <f t="shared" ref="AI194:AN194" si="362">SUM(AI174:AI193)</f>
        <v>0</v>
      </c>
      <c r="AJ194" s="258">
        <f t="shared" si="362"/>
        <v>180675</v>
      </c>
      <c r="AK194" s="258">
        <f t="shared" si="362"/>
        <v>0</v>
      </c>
      <c r="AL194" s="258">
        <f t="shared" si="362"/>
        <v>0</v>
      </c>
      <c r="AM194" s="258">
        <f t="shared" si="362"/>
        <v>2500000</v>
      </c>
      <c r="AN194" s="258">
        <f t="shared" si="362"/>
        <v>3449233.8760000002</v>
      </c>
      <c r="AP194" s="258">
        <f>SUM(AP174:AP193)</f>
        <v>342211.05599999998</v>
      </c>
      <c r="AQ194" s="258">
        <f t="shared" ref="AQ194:AV194" si="363">SUM(AQ174:AQ193)</f>
        <v>0</v>
      </c>
      <c r="AR194" s="258">
        <f t="shared" si="363"/>
        <v>495450</v>
      </c>
      <c r="AS194" s="258">
        <f t="shared" si="363"/>
        <v>0</v>
      </c>
      <c r="AT194" s="258">
        <f t="shared" si="363"/>
        <v>0</v>
      </c>
      <c r="AU194" s="258">
        <f t="shared" si="363"/>
        <v>100000</v>
      </c>
      <c r="AV194" s="258">
        <f t="shared" si="363"/>
        <v>937661.05599999998</v>
      </c>
      <c r="AX194" s="258">
        <f>SUM(AX174:AX193)</f>
        <v>99086.597000000009</v>
      </c>
      <c r="AY194" s="258">
        <f t="shared" ref="AY194:BD194" si="364">SUM(AY174:AY193)</f>
        <v>0</v>
      </c>
      <c r="AZ194" s="258">
        <f t="shared" si="364"/>
        <v>0</v>
      </c>
      <c r="BA194" s="258">
        <f t="shared" si="364"/>
        <v>0</v>
      </c>
      <c r="BB194" s="258">
        <f t="shared" si="364"/>
        <v>0</v>
      </c>
      <c r="BC194" s="258">
        <f t="shared" si="364"/>
        <v>25000</v>
      </c>
      <c r="BD194" s="258">
        <f t="shared" si="364"/>
        <v>124086.59700000001</v>
      </c>
      <c r="BF194" s="258">
        <f>SUM(BF174:BF193)</f>
        <v>27100</v>
      </c>
      <c r="BG194" s="258">
        <f t="shared" ref="BG194:BL194" si="365">SUM(BG174:BG193)</f>
        <v>0</v>
      </c>
      <c r="BH194" s="258">
        <f t="shared" si="365"/>
        <v>0</v>
      </c>
      <c r="BI194" s="258">
        <f t="shared" si="365"/>
        <v>0</v>
      </c>
      <c r="BJ194" s="258">
        <f t="shared" si="365"/>
        <v>337427</v>
      </c>
      <c r="BK194" s="258">
        <f t="shared" si="365"/>
        <v>0</v>
      </c>
      <c r="BL194" s="258">
        <f t="shared" si="365"/>
        <v>364527</v>
      </c>
      <c r="BN194" s="258">
        <f>SUM(BN174:BN193)</f>
        <v>3389340.5965</v>
      </c>
      <c r="BO194" s="258">
        <f t="shared" ref="BO194:BT194" si="366">SUM(BO174:BO193)</f>
        <v>0</v>
      </c>
      <c r="BP194" s="258">
        <f t="shared" si="366"/>
        <v>1494315</v>
      </c>
      <c r="BQ194" s="258">
        <f t="shared" si="366"/>
        <v>0</v>
      </c>
      <c r="BR194" s="258">
        <f t="shared" si="366"/>
        <v>387197</v>
      </c>
      <c r="BS194" s="258">
        <f t="shared" si="366"/>
        <v>6175000</v>
      </c>
      <c r="BT194" s="258">
        <f t="shared" si="366"/>
        <v>11445852.5965</v>
      </c>
    </row>
    <row r="195" spans="1:73" x14ac:dyDescent="0.25">
      <c r="B195" s="259"/>
      <c r="C195" s="259"/>
      <c r="D195" s="259"/>
      <c r="E195" s="259"/>
      <c r="F195" s="259"/>
      <c r="G195" s="259"/>
      <c r="H195" s="259"/>
      <c r="J195" s="259"/>
      <c r="K195" s="259"/>
      <c r="L195" s="259"/>
      <c r="M195" s="259"/>
      <c r="N195" s="259"/>
      <c r="O195" s="259"/>
      <c r="P195" s="259"/>
      <c r="R195" s="259"/>
      <c r="S195" s="259"/>
      <c r="T195" s="259"/>
      <c r="U195" s="259"/>
      <c r="V195" s="259"/>
      <c r="W195" s="259"/>
      <c r="X195" s="259"/>
      <c r="Z195" s="259"/>
      <c r="AA195" s="259"/>
      <c r="AB195" s="259"/>
      <c r="AC195" s="259"/>
      <c r="AD195" s="259"/>
      <c r="AE195" s="259"/>
      <c r="AF195" s="259"/>
      <c r="AH195" s="259"/>
      <c r="AI195" s="259"/>
      <c r="AJ195" s="259"/>
      <c r="AK195" s="259"/>
      <c r="AL195" s="259"/>
      <c r="AM195" s="259"/>
      <c r="AN195" s="259"/>
      <c r="AP195" s="259"/>
      <c r="AQ195" s="259"/>
      <c r="AR195" s="259"/>
      <c r="AS195" s="259"/>
      <c r="AT195" s="259"/>
      <c r="AU195" s="259"/>
      <c r="AV195" s="259"/>
      <c r="AX195" s="259"/>
      <c r="AY195" s="259"/>
      <c r="AZ195" s="259"/>
      <c r="BA195" s="259"/>
      <c r="BB195" s="259"/>
      <c r="BC195" s="259"/>
      <c r="BD195" s="259"/>
      <c r="BF195" s="259"/>
      <c r="BG195" s="259"/>
      <c r="BH195" s="259"/>
      <c r="BI195" s="259"/>
      <c r="BJ195" s="259"/>
      <c r="BK195" s="259"/>
      <c r="BL195" s="259"/>
      <c r="BN195" s="259"/>
      <c r="BO195" s="259"/>
      <c r="BP195" s="259"/>
      <c r="BQ195" s="259"/>
      <c r="BR195" s="259"/>
      <c r="BS195" s="259"/>
      <c r="BT195" s="259"/>
    </row>
    <row r="196" spans="1:73" x14ac:dyDescent="0.25">
      <c r="A196" s="208" t="s">
        <v>337</v>
      </c>
      <c r="B196" s="260" t="s">
        <v>309</v>
      </c>
      <c r="C196" s="260" t="s">
        <v>310</v>
      </c>
      <c r="D196" s="260" t="s">
        <v>311</v>
      </c>
      <c r="E196" s="260" t="str">
        <f>E173</f>
        <v>Other</v>
      </c>
      <c r="F196" s="260" t="s">
        <v>315</v>
      </c>
      <c r="G196" s="260" t="s">
        <v>314</v>
      </c>
      <c r="H196" s="260" t="str">
        <f>H173</f>
        <v>Horizon</v>
      </c>
      <c r="J196" s="260" t="s">
        <v>309</v>
      </c>
      <c r="K196" s="260" t="s">
        <v>310</v>
      </c>
      <c r="L196" s="260" t="s">
        <v>311</v>
      </c>
      <c r="M196" s="260" t="str">
        <f>M173</f>
        <v>Other</v>
      </c>
      <c r="N196" s="260" t="s">
        <v>315</v>
      </c>
      <c r="O196" s="260" t="s">
        <v>314</v>
      </c>
      <c r="P196" s="260" t="str">
        <f>P173</f>
        <v>Cadence</v>
      </c>
      <c r="R196" s="260" t="s">
        <v>309</v>
      </c>
      <c r="S196" s="260" t="s">
        <v>310</v>
      </c>
      <c r="T196" s="260" t="s">
        <v>311</v>
      </c>
      <c r="U196" s="260" t="str">
        <f>U173</f>
        <v>Other</v>
      </c>
      <c r="V196" s="260" t="s">
        <v>315</v>
      </c>
      <c r="W196" s="260" t="s">
        <v>314</v>
      </c>
      <c r="X196" s="260" t="str">
        <f>X173</f>
        <v>St. Rose</v>
      </c>
      <c r="Z196" s="260" t="s">
        <v>309</v>
      </c>
      <c r="AA196" s="260" t="s">
        <v>310</v>
      </c>
      <c r="AB196" s="260" t="s">
        <v>311</v>
      </c>
      <c r="AC196" s="260" t="str">
        <f>AC173</f>
        <v>Other</v>
      </c>
      <c r="AD196" s="260" t="s">
        <v>315</v>
      </c>
      <c r="AE196" s="260" t="s">
        <v>314</v>
      </c>
      <c r="AF196" s="260" t="str">
        <f>AF173</f>
        <v>Inspirada</v>
      </c>
      <c r="AH196" s="260" t="s">
        <v>309</v>
      </c>
      <c r="AI196" s="260" t="s">
        <v>310</v>
      </c>
      <c r="AJ196" s="260" t="s">
        <v>311</v>
      </c>
      <c r="AK196" s="260" t="str">
        <f>AK173</f>
        <v>Other</v>
      </c>
      <c r="AL196" s="260" t="s">
        <v>315</v>
      </c>
      <c r="AM196" s="260" t="s">
        <v>314</v>
      </c>
      <c r="AN196" s="260" t="str">
        <f>AN173</f>
        <v>Sloan</v>
      </c>
      <c r="AP196" s="260" t="s">
        <v>309</v>
      </c>
      <c r="AQ196" s="260" t="s">
        <v>310</v>
      </c>
      <c r="AR196" s="260" t="s">
        <v>311</v>
      </c>
      <c r="AS196" s="260" t="str">
        <f>AS173</f>
        <v>Other</v>
      </c>
      <c r="AT196" s="260" t="s">
        <v>315</v>
      </c>
      <c r="AU196" s="260" t="s">
        <v>314</v>
      </c>
      <c r="AV196" s="260" t="str">
        <f>AV173</f>
        <v>Springs</v>
      </c>
      <c r="AX196" s="260" t="s">
        <v>309</v>
      </c>
      <c r="AY196" s="260" t="s">
        <v>310</v>
      </c>
      <c r="AZ196" s="260" t="s">
        <v>311</v>
      </c>
      <c r="BA196" s="260" t="str">
        <f>BA173</f>
        <v>Other</v>
      </c>
      <c r="BB196" s="260" t="s">
        <v>315</v>
      </c>
      <c r="BC196" s="260" t="s">
        <v>314</v>
      </c>
      <c r="BD196" s="260" t="str">
        <f>BD173</f>
        <v>Virtual</v>
      </c>
      <c r="BF196" s="260" t="s">
        <v>309</v>
      </c>
      <c r="BG196" s="260" t="s">
        <v>310</v>
      </c>
      <c r="BH196" s="260" t="s">
        <v>311</v>
      </c>
      <c r="BI196" s="260" t="str">
        <f>BI173</f>
        <v>Other</v>
      </c>
      <c r="BJ196" s="260" t="s">
        <v>315</v>
      </c>
      <c r="BK196" s="260" t="s">
        <v>314</v>
      </c>
      <c r="BL196" s="260" t="str">
        <f>BL173</f>
        <v>Central</v>
      </c>
      <c r="BN196" s="260" t="s">
        <v>309</v>
      </c>
      <c r="BO196" s="260" t="s">
        <v>310</v>
      </c>
      <c r="BP196" s="260" t="s">
        <v>311</v>
      </c>
      <c r="BQ196" s="260" t="str">
        <f>BQ173</f>
        <v>Other</v>
      </c>
      <c r="BR196" s="260" t="s">
        <v>315</v>
      </c>
      <c r="BS196" s="260" t="s">
        <v>314</v>
      </c>
      <c r="BT196" s="260" t="str">
        <f>BT173</f>
        <v>System</v>
      </c>
    </row>
    <row r="197" spans="1:73" x14ac:dyDescent="0.25">
      <c r="A197" s="214" t="s">
        <v>294</v>
      </c>
      <c r="B197" s="241">
        <f>115000*1.02</f>
        <v>117300</v>
      </c>
      <c r="C197" s="257"/>
      <c r="D197" s="257"/>
      <c r="E197" s="257"/>
      <c r="F197" s="257"/>
      <c r="G197" s="257"/>
      <c r="H197" s="241">
        <f>SUM(B197:G197)</f>
        <v>117300</v>
      </c>
      <c r="J197" s="241">
        <f>275000*1.02</f>
        <v>280500</v>
      </c>
      <c r="K197" s="257"/>
      <c r="L197" s="257"/>
      <c r="M197" s="257"/>
      <c r="N197" s="257"/>
      <c r="O197" s="257"/>
      <c r="P197" s="241">
        <f>SUM(J197:O197)</f>
        <v>280500</v>
      </c>
      <c r="R197" s="241">
        <f>95000*1.02</f>
        <v>96900</v>
      </c>
      <c r="S197" s="257"/>
      <c r="T197" s="257"/>
      <c r="U197" s="257"/>
      <c r="V197" s="257"/>
      <c r="W197" s="257"/>
      <c r="X197" s="241">
        <f>SUM(R197:W197)</f>
        <v>96900</v>
      </c>
      <c r="Z197" s="241">
        <f>120000*1.02</f>
        <v>122400</v>
      </c>
      <c r="AA197" s="257"/>
      <c r="AB197" s="257"/>
      <c r="AC197" s="257"/>
      <c r="AD197" s="257"/>
      <c r="AE197" s="257"/>
      <c r="AF197" s="241">
        <f>SUM(Z197:AE197)</f>
        <v>122400</v>
      </c>
      <c r="AH197" s="241">
        <f>275000*1.02</f>
        <v>280500</v>
      </c>
      <c r="AI197" s="257"/>
      <c r="AJ197" s="257"/>
      <c r="AK197" s="257"/>
      <c r="AL197" s="257"/>
      <c r="AM197" s="257"/>
      <c r="AN197" s="241">
        <f>SUM(AH197:AM197)</f>
        <v>280500</v>
      </c>
      <c r="AP197" s="241">
        <v>90000</v>
      </c>
      <c r="AQ197" s="257"/>
      <c r="AR197" s="257"/>
      <c r="AS197" s="257"/>
      <c r="AT197" s="257"/>
      <c r="AU197" s="257"/>
      <c r="AV197" s="241">
        <f>SUM(AP197:AU197)</f>
        <v>90000</v>
      </c>
      <c r="AX197" s="241"/>
      <c r="AY197" s="257"/>
      <c r="AZ197" s="257"/>
      <c r="BA197" s="257"/>
      <c r="BB197" s="257"/>
      <c r="BC197" s="257"/>
      <c r="BD197" s="241">
        <f>SUM(AX197:BC197)</f>
        <v>0</v>
      </c>
      <c r="BF197" s="241"/>
      <c r="BG197" s="257"/>
      <c r="BH197" s="257"/>
      <c r="BI197" s="257"/>
      <c r="BJ197" s="257"/>
      <c r="BK197" s="257"/>
      <c r="BL197" s="241">
        <f>SUM(BF197:BK197)</f>
        <v>0</v>
      </c>
      <c r="BN197" s="241">
        <f>B197+J197+R197+Z197+AH197+AP197+AX197+BF197</f>
        <v>987600</v>
      </c>
      <c r="BO197" s="241">
        <f t="shared" ref="BO197:BS206" si="367">C197+K197+S197+AA197+AI197+AQ197+AY197+BG197</f>
        <v>0</v>
      </c>
      <c r="BP197" s="241">
        <f t="shared" si="367"/>
        <v>0</v>
      </c>
      <c r="BQ197" s="241">
        <f t="shared" si="367"/>
        <v>0</v>
      </c>
      <c r="BR197" s="241">
        <f t="shared" si="367"/>
        <v>0</v>
      </c>
      <c r="BS197" s="241">
        <f t="shared" si="367"/>
        <v>0</v>
      </c>
      <c r="BT197" s="241">
        <f>SUM(BN197:BS197)</f>
        <v>987600</v>
      </c>
    </row>
    <row r="198" spans="1:73" x14ac:dyDescent="0.25">
      <c r="A198" s="211" t="s">
        <v>295</v>
      </c>
      <c r="B198" s="241">
        <f>8000*1.02</f>
        <v>8160</v>
      </c>
      <c r="C198" s="244"/>
      <c r="D198" s="244"/>
      <c r="E198" s="244"/>
      <c r="F198" s="244"/>
      <c r="G198" s="244"/>
      <c r="H198" s="241">
        <f t="shared" ref="H198:H206" si="368">SUM(B198:G198)</f>
        <v>8160</v>
      </c>
      <c r="J198" s="241">
        <v>0</v>
      </c>
      <c r="K198" s="244"/>
      <c r="L198" s="244"/>
      <c r="M198" s="244"/>
      <c r="N198" s="244"/>
      <c r="O198" s="244"/>
      <c r="P198" s="241">
        <f t="shared" ref="P198:P206" si="369">SUM(J198:O198)</f>
        <v>0</v>
      </c>
      <c r="R198" s="241">
        <v>0</v>
      </c>
      <c r="S198" s="244"/>
      <c r="T198" s="244"/>
      <c r="U198" s="244"/>
      <c r="V198" s="244"/>
      <c r="W198" s="244"/>
      <c r="X198" s="241">
        <f t="shared" ref="X198:X206" si="370">SUM(R198:W198)</f>
        <v>0</v>
      </c>
      <c r="Z198" s="241">
        <v>0</v>
      </c>
      <c r="AA198" s="244"/>
      <c r="AB198" s="244"/>
      <c r="AC198" s="244"/>
      <c r="AD198" s="244"/>
      <c r="AE198" s="244"/>
      <c r="AF198" s="241">
        <f t="shared" ref="AF198:AF206" si="371">SUM(Z198:AE198)</f>
        <v>0</v>
      </c>
      <c r="AH198" s="241">
        <v>0</v>
      </c>
      <c r="AI198" s="244"/>
      <c r="AJ198" s="244"/>
      <c r="AK198" s="244"/>
      <c r="AL198" s="244"/>
      <c r="AM198" s="244"/>
      <c r="AN198" s="241">
        <f t="shared" ref="AN198:AN206" si="372">SUM(AH198:AM198)</f>
        <v>0</v>
      </c>
      <c r="AP198" s="241">
        <v>0</v>
      </c>
      <c r="AQ198" s="244"/>
      <c r="AR198" s="244"/>
      <c r="AS198" s="244"/>
      <c r="AT198" s="244"/>
      <c r="AU198" s="244"/>
      <c r="AV198" s="241">
        <f t="shared" ref="AV198:AV206" si="373">SUM(AP198:AU198)</f>
        <v>0</v>
      </c>
      <c r="AX198" s="241"/>
      <c r="AY198" s="244"/>
      <c r="AZ198" s="244"/>
      <c r="BA198" s="244"/>
      <c r="BB198" s="244"/>
      <c r="BC198" s="244"/>
      <c r="BD198" s="241">
        <f t="shared" ref="BD198:BD206" si="374">SUM(AX198:BC198)</f>
        <v>0</v>
      </c>
      <c r="BF198" s="241"/>
      <c r="BG198" s="244"/>
      <c r="BH198" s="244"/>
      <c r="BI198" s="244"/>
      <c r="BJ198" s="244"/>
      <c r="BK198" s="244"/>
      <c r="BL198" s="241">
        <f t="shared" ref="BL198:BL206" si="375">SUM(BF198:BK198)</f>
        <v>0</v>
      </c>
      <c r="BN198" s="241">
        <f t="shared" ref="BN198:BN206" si="376">B198+J198+R198+Z198+AH198+AP198+AX198+BF198</f>
        <v>8160</v>
      </c>
      <c r="BO198" s="241">
        <f t="shared" si="367"/>
        <v>0</v>
      </c>
      <c r="BP198" s="241">
        <f t="shared" si="367"/>
        <v>0</v>
      </c>
      <c r="BQ198" s="241">
        <f t="shared" si="367"/>
        <v>0</v>
      </c>
      <c r="BR198" s="241">
        <f t="shared" si="367"/>
        <v>0</v>
      </c>
      <c r="BS198" s="241">
        <f t="shared" si="367"/>
        <v>0</v>
      </c>
      <c r="BT198" s="241">
        <f t="shared" ref="BT198:BT206" si="377">SUM(BN198:BS198)</f>
        <v>8160</v>
      </c>
    </row>
    <row r="199" spans="1:73" x14ac:dyDescent="0.25">
      <c r="A199" s="211" t="s">
        <v>296</v>
      </c>
      <c r="B199" s="241">
        <f>32500*1.02</f>
        <v>33150</v>
      </c>
      <c r="C199" s="244"/>
      <c r="D199" s="244"/>
      <c r="E199" s="244"/>
      <c r="F199" s="244"/>
      <c r="G199" s="244"/>
      <c r="H199" s="241">
        <f t="shared" si="368"/>
        <v>33150</v>
      </c>
      <c r="J199" s="241">
        <f>50000*1.02</f>
        <v>51000</v>
      </c>
      <c r="K199" s="244"/>
      <c r="L199" s="244"/>
      <c r="M199" s="244"/>
      <c r="N199" s="244"/>
      <c r="O199" s="244"/>
      <c r="P199" s="241">
        <f t="shared" si="369"/>
        <v>51000</v>
      </c>
      <c r="R199" s="241">
        <f>((8400*4)+(1500*8))*1.02</f>
        <v>46512</v>
      </c>
      <c r="S199" s="244"/>
      <c r="T199" s="244"/>
      <c r="U199" s="244"/>
      <c r="V199" s="244"/>
      <c r="W199" s="244"/>
      <c r="X199" s="241">
        <f t="shared" si="370"/>
        <v>46512</v>
      </c>
      <c r="Z199" s="241">
        <f>20000*1.02</f>
        <v>20400</v>
      </c>
      <c r="AA199" s="244"/>
      <c r="AB199" s="244"/>
      <c r="AC199" s="244"/>
      <c r="AD199" s="244"/>
      <c r="AE199" s="244"/>
      <c r="AF199" s="241">
        <f t="shared" si="371"/>
        <v>20400</v>
      </c>
      <c r="AH199" s="241">
        <f>40000*1.02</f>
        <v>40800</v>
      </c>
      <c r="AI199" s="244"/>
      <c r="AJ199" s="244"/>
      <c r="AK199" s="244"/>
      <c r="AL199" s="244"/>
      <c r="AM199" s="244"/>
      <c r="AN199" s="241">
        <f t="shared" si="372"/>
        <v>40800</v>
      </c>
      <c r="AP199" s="241">
        <v>26000</v>
      </c>
      <c r="AQ199" s="244"/>
      <c r="AR199" s="244"/>
      <c r="AS199" s="244"/>
      <c r="AT199" s="244"/>
      <c r="AU199" s="244"/>
      <c r="AV199" s="241">
        <f t="shared" si="373"/>
        <v>26000</v>
      </c>
      <c r="AX199" s="241"/>
      <c r="AY199" s="244"/>
      <c r="AZ199" s="244"/>
      <c r="BA199" s="244"/>
      <c r="BB199" s="244"/>
      <c r="BC199" s="244"/>
      <c r="BD199" s="241">
        <f t="shared" si="374"/>
        <v>0</v>
      </c>
      <c r="BF199" s="241"/>
      <c r="BG199" s="244"/>
      <c r="BH199" s="244"/>
      <c r="BI199" s="244"/>
      <c r="BJ199" s="244"/>
      <c r="BK199" s="244"/>
      <c r="BL199" s="241">
        <f t="shared" si="375"/>
        <v>0</v>
      </c>
      <c r="BN199" s="241">
        <f t="shared" si="376"/>
        <v>217862</v>
      </c>
      <c r="BO199" s="241">
        <f t="shared" si="367"/>
        <v>0</v>
      </c>
      <c r="BP199" s="241">
        <f t="shared" si="367"/>
        <v>0</v>
      </c>
      <c r="BQ199" s="241">
        <f t="shared" si="367"/>
        <v>0</v>
      </c>
      <c r="BR199" s="241">
        <f t="shared" si="367"/>
        <v>0</v>
      </c>
      <c r="BS199" s="241">
        <f t="shared" si="367"/>
        <v>0</v>
      </c>
      <c r="BT199" s="241">
        <f t="shared" si="377"/>
        <v>217862</v>
      </c>
    </row>
    <row r="200" spans="1:73" x14ac:dyDescent="0.25">
      <c r="A200" s="211" t="s">
        <v>297</v>
      </c>
      <c r="B200" s="241">
        <f>24000*1.02</f>
        <v>24480</v>
      </c>
      <c r="C200" s="244"/>
      <c r="D200" s="244"/>
      <c r="E200" s="244"/>
      <c r="F200" s="244"/>
      <c r="G200" s="244"/>
      <c r="H200" s="241">
        <f t="shared" si="368"/>
        <v>24480</v>
      </c>
      <c r="J200" s="241">
        <f>65000*1.02</f>
        <v>66300</v>
      </c>
      <c r="K200" s="244"/>
      <c r="L200" s="244"/>
      <c r="M200" s="244"/>
      <c r="N200" s="244"/>
      <c r="O200" s="244"/>
      <c r="P200" s="241">
        <f t="shared" si="369"/>
        <v>66300</v>
      </c>
      <c r="R200" s="241">
        <f>19000*1.02</f>
        <v>19380</v>
      </c>
      <c r="S200" s="244"/>
      <c r="T200" s="244"/>
      <c r="U200" s="244"/>
      <c r="V200" s="244"/>
      <c r="W200" s="244"/>
      <c r="X200" s="241">
        <f t="shared" si="370"/>
        <v>19380</v>
      </c>
      <c r="Z200" s="241">
        <f>33000*1.02</f>
        <v>33660</v>
      </c>
      <c r="AA200" s="244"/>
      <c r="AB200" s="244"/>
      <c r="AC200" s="244"/>
      <c r="AD200" s="244"/>
      <c r="AE200" s="244"/>
      <c r="AF200" s="241">
        <f t="shared" si="371"/>
        <v>33660</v>
      </c>
      <c r="AH200" s="241">
        <f>62500*1.02</f>
        <v>63750</v>
      </c>
      <c r="AI200" s="244"/>
      <c r="AJ200" s="244"/>
      <c r="AK200" s="244"/>
      <c r="AL200" s="244"/>
      <c r="AM200" s="244"/>
      <c r="AN200" s="241">
        <f t="shared" si="372"/>
        <v>63750</v>
      </c>
      <c r="AP200" s="241">
        <v>22500</v>
      </c>
      <c r="AQ200" s="244"/>
      <c r="AR200" s="244"/>
      <c r="AS200" s="244"/>
      <c r="AT200" s="244"/>
      <c r="AU200" s="244"/>
      <c r="AV200" s="241">
        <f t="shared" si="373"/>
        <v>22500</v>
      </c>
      <c r="AX200" s="241"/>
      <c r="AY200" s="244"/>
      <c r="AZ200" s="244"/>
      <c r="BA200" s="244"/>
      <c r="BB200" s="244"/>
      <c r="BC200" s="244"/>
      <c r="BD200" s="241">
        <f t="shared" si="374"/>
        <v>0</v>
      </c>
      <c r="BF200" s="241"/>
      <c r="BG200" s="244"/>
      <c r="BH200" s="244"/>
      <c r="BI200" s="244"/>
      <c r="BJ200" s="244"/>
      <c r="BK200" s="244"/>
      <c r="BL200" s="241">
        <f t="shared" si="375"/>
        <v>0</v>
      </c>
      <c r="BN200" s="241">
        <f t="shared" si="376"/>
        <v>230070</v>
      </c>
      <c r="BO200" s="241">
        <f t="shared" si="367"/>
        <v>0</v>
      </c>
      <c r="BP200" s="241">
        <f t="shared" si="367"/>
        <v>0</v>
      </c>
      <c r="BQ200" s="241">
        <f t="shared" si="367"/>
        <v>0</v>
      </c>
      <c r="BR200" s="241">
        <f t="shared" si="367"/>
        <v>0</v>
      </c>
      <c r="BS200" s="241">
        <f t="shared" si="367"/>
        <v>0</v>
      </c>
      <c r="BT200" s="241">
        <f t="shared" si="377"/>
        <v>230070</v>
      </c>
    </row>
    <row r="201" spans="1:73" x14ac:dyDescent="0.25">
      <c r="A201" s="211" t="s">
        <v>298</v>
      </c>
      <c r="B201" s="241">
        <f>12500*1.02</f>
        <v>12750</v>
      </c>
      <c r="C201" s="244"/>
      <c r="D201" s="244"/>
      <c r="E201" s="244"/>
      <c r="F201" s="244"/>
      <c r="G201" s="244"/>
      <c r="H201" s="241">
        <f t="shared" si="368"/>
        <v>12750</v>
      </c>
      <c r="J201" s="241">
        <f>33000*1.02</f>
        <v>33660</v>
      </c>
      <c r="K201" s="244"/>
      <c r="L201" s="244"/>
      <c r="M201" s="244"/>
      <c r="N201" s="244"/>
      <c r="O201" s="244"/>
      <c r="P201" s="241">
        <f t="shared" si="369"/>
        <v>33660</v>
      </c>
      <c r="R201" s="241">
        <f>8500*1.02</f>
        <v>8670</v>
      </c>
      <c r="S201" s="244"/>
      <c r="T201" s="244"/>
      <c r="U201" s="244"/>
      <c r="V201" s="244"/>
      <c r="W201" s="244"/>
      <c r="X201" s="241">
        <f t="shared" si="370"/>
        <v>8670</v>
      </c>
      <c r="Z201" s="241">
        <f>15000*1.02</f>
        <v>15300</v>
      </c>
      <c r="AA201" s="244"/>
      <c r="AB201" s="244"/>
      <c r="AC201" s="244"/>
      <c r="AD201" s="244"/>
      <c r="AE201" s="244"/>
      <c r="AF201" s="241">
        <f t="shared" si="371"/>
        <v>15300</v>
      </c>
      <c r="AH201" s="241">
        <f>16000*1.02</f>
        <v>16320</v>
      </c>
      <c r="AI201" s="244"/>
      <c r="AJ201" s="244"/>
      <c r="AK201" s="244"/>
      <c r="AL201" s="244"/>
      <c r="AM201" s="244"/>
      <c r="AN201" s="241">
        <f t="shared" si="372"/>
        <v>16320</v>
      </c>
      <c r="AP201" s="241">
        <v>12000</v>
      </c>
      <c r="AQ201" s="244"/>
      <c r="AR201" s="244"/>
      <c r="AS201" s="244"/>
      <c r="AT201" s="244"/>
      <c r="AU201" s="244"/>
      <c r="AV201" s="241">
        <f t="shared" si="373"/>
        <v>12000</v>
      </c>
      <c r="AX201" s="241"/>
      <c r="AY201" s="244"/>
      <c r="AZ201" s="244"/>
      <c r="BA201" s="244"/>
      <c r="BB201" s="244"/>
      <c r="BC201" s="244"/>
      <c r="BD201" s="241">
        <f t="shared" si="374"/>
        <v>0</v>
      </c>
      <c r="BF201" s="241"/>
      <c r="BG201" s="244"/>
      <c r="BH201" s="244"/>
      <c r="BI201" s="244"/>
      <c r="BJ201" s="244"/>
      <c r="BK201" s="244"/>
      <c r="BL201" s="241">
        <f t="shared" si="375"/>
        <v>0</v>
      </c>
      <c r="BN201" s="241">
        <f t="shared" si="376"/>
        <v>98700</v>
      </c>
      <c r="BO201" s="241">
        <f t="shared" si="367"/>
        <v>0</v>
      </c>
      <c r="BP201" s="241">
        <f t="shared" si="367"/>
        <v>0</v>
      </c>
      <c r="BQ201" s="241">
        <f t="shared" si="367"/>
        <v>0</v>
      </c>
      <c r="BR201" s="241">
        <f t="shared" si="367"/>
        <v>0</v>
      </c>
      <c r="BS201" s="241">
        <f t="shared" si="367"/>
        <v>0</v>
      </c>
      <c r="BT201" s="241">
        <f t="shared" si="377"/>
        <v>98700</v>
      </c>
    </row>
    <row r="202" spans="1:73" x14ac:dyDescent="0.25">
      <c r="A202" s="211" t="s">
        <v>299</v>
      </c>
      <c r="B202" s="241">
        <f>(9235*13)*1.05</f>
        <v>126057.75</v>
      </c>
      <c r="C202" s="244"/>
      <c r="D202" s="244"/>
      <c r="E202" s="244"/>
      <c r="F202" s="244"/>
      <c r="G202" s="244"/>
      <c r="H202" s="241">
        <f t="shared" si="368"/>
        <v>126057.75</v>
      </c>
      <c r="J202" s="241">
        <f>((19825*13)+12500+15500)*1.05</f>
        <v>300011.25</v>
      </c>
      <c r="K202" s="244"/>
      <c r="L202" s="244"/>
      <c r="M202" s="244"/>
      <c r="N202" s="244"/>
      <c r="O202" s="244"/>
      <c r="P202" s="241">
        <f t="shared" si="369"/>
        <v>300011.25</v>
      </c>
      <c r="R202" s="241">
        <f>(7770*13)*1.05</f>
        <v>106060.5</v>
      </c>
      <c r="S202" s="244"/>
      <c r="T202" s="244"/>
      <c r="U202" s="244"/>
      <c r="V202" s="244"/>
      <c r="W202" s="244"/>
      <c r="X202" s="241">
        <f t="shared" si="370"/>
        <v>106060.5</v>
      </c>
      <c r="Z202" s="241">
        <f>(8950*13)*1.05</f>
        <v>122167.5</v>
      </c>
      <c r="AA202" s="244"/>
      <c r="AB202" s="244"/>
      <c r="AC202" s="244"/>
      <c r="AD202" s="244"/>
      <c r="AE202" s="244"/>
      <c r="AF202" s="241">
        <f t="shared" si="371"/>
        <v>122167.5</v>
      </c>
      <c r="AH202" s="241">
        <f>((37000*12.5)+12500)*1.04</f>
        <v>494000</v>
      </c>
      <c r="AI202" s="244"/>
      <c r="AJ202" s="244"/>
      <c r="AK202" s="244"/>
      <c r="AL202" s="244"/>
      <c r="AM202" s="244"/>
      <c r="AN202" s="241">
        <f t="shared" si="372"/>
        <v>494000</v>
      </c>
      <c r="AP202" s="241">
        <f>(7500*12)</f>
        <v>90000</v>
      </c>
      <c r="AQ202" s="244"/>
      <c r="AR202" s="244"/>
      <c r="AS202" s="244"/>
      <c r="AT202" s="244"/>
      <c r="AU202" s="244"/>
      <c r="AV202" s="241">
        <f t="shared" si="373"/>
        <v>90000</v>
      </c>
      <c r="AX202" s="241"/>
      <c r="AY202" s="244"/>
      <c r="AZ202" s="244"/>
      <c r="BA202" s="244"/>
      <c r="BB202" s="244"/>
      <c r="BC202" s="244"/>
      <c r="BD202" s="241">
        <f t="shared" si="374"/>
        <v>0</v>
      </c>
      <c r="BF202" s="241"/>
      <c r="BG202" s="244"/>
      <c r="BH202" s="244"/>
      <c r="BI202" s="244"/>
      <c r="BJ202" s="244"/>
      <c r="BK202" s="244"/>
      <c r="BL202" s="241">
        <f t="shared" si="375"/>
        <v>0</v>
      </c>
      <c r="BN202" s="241">
        <f t="shared" si="376"/>
        <v>1238297</v>
      </c>
      <c r="BO202" s="241">
        <f t="shared" si="367"/>
        <v>0</v>
      </c>
      <c r="BP202" s="241">
        <f t="shared" si="367"/>
        <v>0</v>
      </c>
      <c r="BQ202" s="241">
        <f t="shared" si="367"/>
        <v>0</v>
      </c>
      <c r="BR202" s="241">
        <f t="shared" si="367"/>
        <v>0</v>
      </c>
      <c r="BS202" s="241">
        <f t="shared" si="367"/>
        <v>0</v>
      </c>
      <c r="BT202" s="241">
        <f t="shared" si="377"/>
        <v>1238297</v>
      </c>
    </row>
    <row r="203" spans="1:73" x14ac:dyDescent="0.25">
      <c r="A203" s="211" t="s">
        <v>300</v>
      </c>
      <c r="B203" s="241">
        <f>100000+5000</f>
        <v>105000</v>
      </c>
      <c r="C203" s="244"/>
      <c r="D203" s="244"/>
      <c r="E203" s="244"/>
      <c r="F203" s="244"/>
      <c r="G203" s="244"/>
      <c r="H203" s="241">
        <f t="shared" si="368"/>
        <v>105000</v>
      </c>
      <c r="J203" s="241">
        <v>235000</v>
      </c>
      <c r="K203" s="244"/>
      <c r="L203" s="244"/>
      <c r="M203" s="244"/>
      <c r="N203" s="244"/>
      <c r="O203" s="244"/>
      <c r="P203" s="241">
        <f t="shared" si="369"/>
        <v>235000</v>
      </c>
      <c r="R203" s="241">
        <f>105000+5000</f>
        <v>110000</v>
      </c>
      <c r="S203" s="244"/>
      <c r="T203" s="244"/>
      <c r="U203" s="244"/>
      <c r="V203" s="244"/>
      <c r="W203" s="244"/>
      <c r="X203" s="241">
        <f t="shared" si="370"/>
        <v>110000</v>
      </c>
      <c r="Z203" s="241">
        <f>150000+5000</f>
        <v>155000</v>
      </c>
      <c r="AA203" s="244"/>
      <c r="AB203" s="244"/>
      <c r="AC203" s="244"/>
      <c r="AD203" s="244"/>
      <c r="AE203" s="244"/>
      <c r="AF203" s="241">
        <f t="shared" si="371"/>
        <v>155000</v>
      </c>
      <c r="AH203" s="241">
        <f>165000+5000</f>
        <v>170000</v>
      </c>
      <c r="AI203" s="244"/>
      <c r="AJ203" s="244"/>
      <c r="AK203" s="244"/>
      <c r="AL203" s="244"/>
      <c r="AM203" s="244"/>
      <c r="AN203" s="241">
        <f t="shared" si="372"/>
        <v>170000</v>
      </c>
      <c r="AP203" s="241">
        <v>55000</v>
      </c>
      <c r="AQ203" s="244"/>
      <c r="AR203" s="244"/>
      <c r="AS203" s="244"/>
      <c r="AT203" s="244"/>
      <c r="AU203" s="244"/>
      <c r="AV203" s="241">
        <f t="shared" si="373"/>
        <v>55000</v>
      </c>
      <c r="AX203" s="241"/>
      <c r="AY203" s="244"/>
      <c r="AZ203" s="244"/>
      <c r="BA203" s="244"/>
      <c r="BB203" s="244"/>
      <c r="BC203" s="244"/>
      <c r="BD203" s="241">
        <f t="shared" si="374"/>
        <v>0</v>
      </c>
      <c r="BF203" s="241"/>
      <c r="BG203" s="244"/>
      <c r="BH203" s="244"/>
      <c r="BI203" s="244"/>
      <c r="BJ203" s="244"/>
      <c r="BK203" s="244"/>
      <c r="BL203" s="241">
        <f t="shared" si="375"/>
        <v>0</v>
      </c>
      <c r="BN203" s="241">
        <f t="shared" si="376"/>
        <v>830000</v>
      </c>
      <c r="BO203" s="241">
        <f t="shared" si="367"/>
        <v>0</v>
      </c>
      <c r="BP203" s="241">
        <f t="shared" si="367"/>
        <v>0</v>
      </c>
      <c r="BQ203" s="241">
        <f t="shared" si="367"/>
        <v>0</v>
      </c>
      <c r="BR203" s="241">
        <f t="shared" si="367"/>
        <v>0</v>
      </c>
      <c r="BS203" s="241">
        <f t="shared" si="367"/>
        <v>0</v>
      </c>
      <c r="BT203" s="241">
        <f t="shared" si="377"/>
        <v>830000</v>
      </c>
    </row>
    <row r="204" spans="1:73" x14ac:dyDescent="0.25">
      <c r="A204" s="211" t="s">
        <v>301</v>
      </c>
      <c r="B204" s="241">
        <v>0</v>
      </c>
      <c r="C204" s="244"/>
      <c r="D204" s="244"/>
      <c r="E204" s="244"/>
      <c r="F204" s="244"/>
      <c r="G204" s="244"/>
      <c r="H204" s="241">
        <f t="shared" si="368"/>
        <v>0</v>
      </c>
      <c r="J204" s="241">
        <v>0</v>
      </c>
      <c r="K204" s="244"/>
      <c r="L204" s="244"/>
      <c r="M204" s="244"/>
      <c r="N204" s="244"/>
      <c r="O204" s="244"/>
      <c r="P204" s="241">
        <f t="shared" si="369"/>
        <v>0</v>
      </c>
      <c r="R204" s="241">
        <v>0</v>
      </c>
      <c r="S204" s="244"/>
      <c r="T204" s="244"/>
      <c r="U204" s="244"/>
      <c r="V204" s="244"/>
      <c r="W204" s="244"/>
      <c r="X204" s="241">
        <f t="shared" si="370"/>
        <v>0</v>
      </c>
      <c r="Z204" s="241"/>
      <c r="AA204" s="244"/>
      <c r="AB204" s="244"/>
      <c r="AC204" s="244"/>
      <c r="AD204" s="244"/>
      <c r="AE204" s="244"/>
      <c r="AF204" s="241">
        <f t="shared" si="371"/>
        <v>0</v>
      </c>
      <c r="AH204" s="241"/>
      <c r="AI204" s="244"/>
      <c r="AJ204" s="244"/>
      <c r="AK204" s="244"/>
      <c r="AL204" s="244"/>
      <c r="AM204" s="244"/>
      <c r="AN204" s="241">
        <f t="shared" si="372"/>
        <v>0</v>
      </c>
      <c r="AP204" s="241">
        <v>0</v>
      </c>
      <c r="AQ204" s="244"/>
      <c r="AR204" s="244"/>
      <c r="AS204" s="244"/>
      <c r="AT204" s="244"/>
      <c r="AU204" s="244"/>
      <c r="AV204" s="241">
        <f t="shared" si="373"/>
        <v>0</v>
      </c>
      <c r="AX204" s="241"/>
      <c r="AY204" s="244"/>
      <c r="AZ204" s="244"/>
      <c r="BA204" s="244"/>
      <c r="BB204" s="244"/>
      <c r="BC204" s="244"/>
      <c r="BD204" s="241">
        <f t="shared" si="374"/>
        <v>0</v>
      </c>
      <c r="BF204" s="241"/>
      <c r="BG204" s="244"/>
      <c r="BH204" s="244"/>
      <c r="BI204" s="244"/>
      <c r="BJ204" s="244"/>
      <c r="BK204" s="244"/>
      <c r="BL204" s="241">
        <f t="shared" si="375"/>
        <v>0</v>
      </c>
      <c r="BN204" s="241">
        <f t="shared" si="376"/>
        <v>0</v>
      </c>
      <c r="BO204" s="241">
        <f t="shared" si="367"/>
        <v>0</v>
      </c>
      <c r="BP204" s="241">
        <f t="shared" si="367"/>
        <v>0</v>
      </c>
      <c r="BQ204" s="241">
        <f t="shared" si="367"/>
        <v>0</v>
      </c>
      <c r="BR204" s="241">
        <f t="shared" si="367"/>
        <v>0</v>
      </c>
      <c r="BS204" s="241">
        <f t="shared" si="367"/>
        <v>0</v>
      </c>
      <c r="BT204" s="241">
        <f t="shared" si="377"/>
        <v>0</v>
      </c>
    </row>
    <row r="205" spans="1:73" x14ac:dyDescent="0.25">
      <c r="A205" s="211" t="s">
        <v>302</v>
      </c>
      <c r="B205" s="241">
        <f>(((700*1.04)*12)+17500)*1.03</f>
        <v>27023.08</v>
      </c>
      <c r="C205" s="244"/>
      <c r="D205" s="244"/>
      <c r="E205" s="244"/>
      <c r="F205" s="244"/>
      <c r="G205" s="244"/>
      <c r="H205" s="241">
        <f t="shared" si="368"/>
        <v>27023.08</v>
      </c>
      <c r="J205" s="241">
        <f>(((1200*1.04)*12)+20000)*1.02</f>
        <v>35675.520000000004</v>
      </c>
      <c r="K205" s="244"/>
      <c r="L205" s="244"/>
      <c r="M205" s="244"/>
      <c r="N205" s="244"/>
      <c r="O205" s="244"/>
      <c r="P205" s="241">
        <f t="shared" si="369"/>
        <v>35675.520000000004</v>
      </c>
      <c r="R205" s="241">
        <f>((960*1.04)+17500)*1.03</f>
        <v>19053.352000000003</v>
      </c>
      <c r="S205" s="244"/>
      <c r="T205" s="244"/>
      <c r="U205" s="244"/>
      <c r="V205" s="244"/>
      <c r="W205" s="244"/>
      <c r="X205" s="241">
        <f t="shared" si="370"/>
        <v>19053.352000000003</v>
      </c>
      <c r="Z205" s="241">
        <f>(((625*1.04)*12)+15000)*1.02</f>
        <v>23256</v>
      </c>
      <c r="AA205" s="244"/>
      <c r="AB205" s="244"/>
      <c r="AC205" s="244"/>
      <c r="AD205" s="244"/>
      <c r="AE205" s="244"/>
      <c r="AF205" s="241">
        <f t="shared" si="371"/>
        <v>23256</v>
      </c>
      <c r="AH205" s="241">
        <f>(((1330*1.04)*12)+20000)*1.02</f>
        <v>37330.368000000002</v>
      </c>
      <c r="AI205" s="244"/>
      <c r="AJ205" s="244"/>
      <c r="AK205" s="244"/>
      <c r="AL205" s="244"/>
      <c r="AM205" s="244"/>
      <c r="AN205" s="241">
        <f t="shared" si="372"/>
        <v>37330.368000000002</v>
      </c>
      <c r="AP205" s="241">
        <v>25000</v>
      </c>
      <c r="AQ205" s="244"/>
      <c r="AR205" s="244"/>
      <c r="AS205" s="244"/>
      <c r="AT205" s="244"/>
      <c r="AU205" s="244"/>
      <c r="AV205" s="241">
        <f t="shared" si="373"/>
        <v>25000</v>
      </c>
      <c r="AX205" s="241"/>
      <c r="AY205" s="244"/>
      <c r="AZ205" s="244"/>
      <c r="BA205" s="244"/>
      <c r="BB205" s="244"/>
      <c r="BC205" s="244"/>
      <c r="BD205" s="241">
        <f t="shared" si="374"/>
        <v>0</v>
      </c>
      <c r="BF205" s="241"/>
      <c r="BG205" s="244"/>
      <c r="BH205" s="244"/>
      <c r="BI205" s="244"/>
      <c r="BJ205" s="244"/>
      <c r="BK205" s="244"/>
      <c r="BL205" s="241">
        <f t="shared" si="375"/>
        <v>0</v>
      </c>
      <c r="BN205" s="241">
        <f t="shared" si="376"/>
        <v>167338.32</v>
      </c>
      <c r="BO205" s="241">
        <f t="shared" si="367"/>
        <v>0</v>
      </c>
      <c r="BP205" s="241">
        <f t="shared" si="367"/>
        <v>0</v>
      </c>
      <c r="BQ205" s="241">
        <f t="shared" si="367"/>
        <v>0</v>
      </c>
      <c r="BR205" s="241">
        <f t="shared" si="367"/>
        <v>0</v>
      </c>
      <c r="BS205" s="241">
        <f t="shared" si="367"/>
        <v>0</v>
      </c>
      <c r="BT205" s="241">
        <f t="shared" si="377"/>
        <v>167338.32</v>
      </c>
    </row>
    <row r="206" spans="1:73" x14ac:dyDescent="0.25">
      <c r="A206" s="212" t="s">
        <v>303</v>
      </c>
      <c r="B206" s="241">
        <f>((6500*1.05)+25000)*1.03</f>
        <v>32779.75</v>
      </c>
      <c r="C206" s="245"/>
      <c r="D206" s="245"/>
      <c r="E206" s="245"/>
      <c r="F206" s="245"/>
      <c r="G206" s="245"/>
      <c r="H206" s="241">
        <f t="shared" si="368"/>
        <v>32779.75</v>
      </c>
      <c r="J206" s="241">
        <f>((29835*1.04)+25000)*1.02</f>
        <v>57148.968000000001</v>
      </c>
      <c r="K206" s="245"/>
      <c r="L206" s="245"/>
      <c r="M206" s="245"/>
      <c r="N206" s="245"/>
      <c r="O206" s="245"/>
      <c r="P206" s="241">
        <f t="shared" si="369"/>
        <v>57148.968000000001</v>
      </c>
      <c r="R206" s="241">
        <f>((9200*1.04)+15500)*1.03</f>
        <v>25820.04</v>
      </c>
      <c r="S206" s="245"/>
      <c r="T206" s="245"/>
      <c r="U206" s="245"/>
      <c r="V206" s="245"/>
      <c r="W206" s="245"/>
      <c r="X206" s="241">
        <f t="shared" si="370"/>
        <v>25820.04</v>
      </c>
      <c r="Z206" s="241">
        <f>((12675*1.04)+15000)*1.02</f>
        <v>28745.64</v>
      </c>
      <c r="AA206" s="245"/>
      <c r="AB206" s="245"/>
      <c r="AC206" s="245"/>
      <c r="AD206" s="245"/>
      <c r="AE206" s="245"/>
      <c r="AF206" s="241">
        <f t="shared" si="371"/>
        <v>28745.64</v>
      </c>
      <c r="AH206" s="241">
        <f>((26170*1.04)+25000)*1.02</f>
        <v>53261.136000000006</v>
      </c>
      <c r="AI206" s="245"/>
      <c r="AJ206" s="245"/>
      <c r="AK206" s="245"/>
      <c r="AL206" s="245"/>
      <c r="AM206" s="245"/>
      <c r="AN206" s="241">
        <f t="shared" si="372"/>
        <v>53261.136000000006</v>
      </c>
      <c r="AP206" s="241">
        <v>25000</v>
      </c>
      <c r="AQ206" s="245"/>
      <c r="AR206" s="245"/>
      <c r="AS206" s="245"/>
      <c r="AT206" s="245"/>
      <c r="AU206" s="245"/>
      <c r="AV206" s="241">
        <f t="shared" si="373"/>
        <v>25000</v>
      </c>
      <c r="AX206" s="241"/>
      <c r="AY206" s="245"/>
      <c r="AZ206" s="245"/>
      <c r="BA206" s="245"/>
      <c r="BB206" s="245"/>
      <c r="BC206" s="245"/>
      <c r="BD206" s="241">
        <f t="shared" si="374"/>
        <v>0</v>
      </c>
      <c r="BF206" s="241"/>
      <c r="BG206" s="245"/>
      <c r="BH206" s="245"/>
      <c r="BI206" s="245"/>
      <c r="BJ206" s="245"/>
      <c r="BK206" s="245"/>
      <c r="BL206" s="241">
        <f t="shared" si="375"/>
        <v>0</v>
      </c>
      <c r="BN206" s="241">
        <f t="shared" si="376"/>
        <v>222755.53399999999</v>
      </c>
      <c r="BO206" s="241">
        <f t="shared" si="367"/>
        <v>0</v>
      </c>
      <c r="BP206" s="241">
        <f t="shared" si="367"/>
        <v>0</v>
      </c>
      <c r="BQ206" s="241">
        <f t="shared" si="367"/>
        <v>0</v>
      </c>
      <c r="BR206" s="241">
        <f t="shared" si="367"/>
        <v>0</v>
      </c>
      <c r="BS206" s="241">
        <f t="shared" si="367"/>
        <v>0</v>
      </c>
      <c r="BT206" s="241">
        <f t="shared" si="377"/>
        <v>222755.53399999999</v>
      </c>
    </row>
    <row r="207" spans="1:73" x14ac:dyDescent="0.25">
      <c r="A207" s="213"/>
      <c r="B207" s="258">
        <f>SUM(B197:B206)</f>
        <v>486700.58</v>
      </c>
      <c r="C207" s="258">
        <f t="shared" ref="C207:H207" si="378">SUM(C197:C206)</f>
        <v>0</v>
      </c>
      <c r="D207" s="258">
        <f t="shared" si="378"/>
        <v>0</v>
      </c>
      <c r="E207" s="258">
        <f t="shared" si="378"/>
        <v>0</v>
      </c>
      <c r="F207" s="258">
        <f t="shared" si="378"/>
        <v>0</v>
      </c>
      <c r="G207" s="258">
        <f t="shared" si="378"/>
        <v>0</v>
      </c>
      <c r="H207" s="258">
        <f t="shared" si="378"/>
        <v>486700.58</v>
      </c>
      <c r="J207" s="258">
        <f>SUM(J197:J206)</f>
        <v>1059295.7380000001</v>
      </c>
      <c r="K207" s="258">
        <f t="shared" ref="K207:P207" si="379">SUM(K197:K206)</f>
        <v>0</v>
      </c>
      <c r="L207" s="258">
        <f t="shared" si="379"/>
        <v>0</v>
      </c>
      <c r="M207" s="258">
        <f t="shared" si="379"/>
        <v>0</v>
      </c>
      <c r="N207" s="258">
        <f t="shared" si="379"/>
        <v>0</v>
      </c>
      <c r="O207" s="258">
        <f t="shared" si="379"/>
        <v>0</v>
      </c>
      <c r="P207" s="258">
        <f t="shared" si="379"/>
        <v>1059295.7380000001</v>
      </c>
      <c r="R207" s="258">
        <f>SUM(R197:R206)</f>
        <v>432395.89199999999</v>
      </c>
      <c r="S207" s="258">
        <f t="shared" ref="S207:X207" si="380">SUM(S197:S206)</f>
        <v>0</v>
      </c>
      <c r="T207" s="258">
        <f t="shared" si="380"/>
        <v>0</v>
      </c>
      <c r="U207" s="258">
        <f t="shared" si="380"/>
        <v>0</v>
      </c>
      <c r="V207" s="258">
        <f t="shared" si="380"/>
        <v>0</v>
      </c>
      <c r="W207" s="258">
        <f t="shared" si="380"/>
        <v>0</v>
      </c>
      <c r="X207" s="258">
        <f t="shared" si="380"/>
        <v>432395.89199999999</v>
      </c>
      <c r="Z207" s="258">
        <f>SUM(Z197:Z206)</f>
        <v>520929.14</v>
      </c>
      <c r="AA207" s="258">
        <f t="shared" ref="AA207:AF207" si="381">SUM(AA197:AA206)</f>
        <v>0</v>
      </c>
      <c r="AB207" s="258">
        <f t="shared" si="381"/>
        <v>0</v>
      </c>
      <c r="AC207" s="258">
        <f t="shared" si="381"/>
        <v>0</v>
      </c>
      <c r="AD207" s="258">
        <f t="shared" si="381"/>
        <v>0</v>
      </c>
      <c r="AE207" s="258">
        <f t="shared" si="381"/>
        <v>0</v>
      </c>
      <c r="AF207" s="258">
        <f t="shared" si="381"/>
        <v>520929.14</v>
      </c>
      <c r="AH207" s="258">
        <f>SUM(AH197:AH206)</f>
        <v>1155961.504</v>
      </c>
      <c r="AI207" s="258">
        <f t="shared" ref="AI207:AN207" si="382">SUM(AI197:AI206)</f>
        <v>0</v>
      </c>
      <c r="AJ207" s="258">
        <f t="shared" si="382"/>
        <v>0</v>
      </c>
      <c r="AK207" s="258">
        <f t="shared" si="382"/>
        <v>0</v>
      </c>
      <c r="AL207" s="258">
        <f t="shared" si="382"/>
        <v>0</v>
      </c>
      <c r="AM207" s="258">
        <f t="shared" si="382"/>
        <v>0</v>
      </c>
      <c r="AN207" s="258">
        <f t="shared" si="382"/>
        <v>1155961.504</v>
      </c>
      <c r="AP207" s="258">
        <f>SUM(AP197:AP206)</f>
        <v>345500</v>
      </c>
      <c r="AQ207" s="258">
        <f t="shared" ref="AQ207:AV207" si="383">SUM(AQ197:AQ206)</f>
        <v>0</v>
      </c>
      <c r="AR207" s="258">
        <f t="shared" si="383"/>
        <v>0</v>
      </c>
      <c r="AS207" s="258">
        <f t="shared" si="383"/>
        <v>0</v>
      </c>
      <c r="AT207" s="258">
        <f t="shared" si="383"/>
        <v>0</v>
      </c>
      <c r="AU207" s="258">
        <f t="shared" si="383"/>
        <v>0</v>
      </c>
      <c r="AV207" s="258">
        <f t="shared" si="383"/>
        <v>345500</v>
      </c>
      <c r="AX207" s="258">
        <f>SUM(AX197:AX206)</f>
        <v>0</v>
      </c>
      <c r="AY207" s="258">
        <f t="shared" ref="AY207:BD207" si="384">SUM(AY197:AY206)</f>
        <v>0</v>
      </c>
      <c r="AZ207" s="258">
        <f t="shared" si="384"/>
        <v>0</v>
      </c>
      <c r="BA207" s="258">
        <f t="shared" si="384"/>
        <v>0</v>
      </c>
      <c r="BB207" s="258">
        <f t="shared" si="384"/>
        <v>0</v>
      </c>
      <c r="BC207" s="258">
        <f t="shared" si="384"/>
        <v>0</v>
      </c>
      <c r="BD207" s="258">
        <f t="shared" si="384"/>
        <v>0</v>
      </c>
      <c r="BF207" s="258">
        <f>SUM(BF197:BF206)</f>
        <v>0</v>
      </c>
      <c r="BG207" s="258">
        <f t="shared" ref="BG207:BL207" si="385">SUM(BG197:BG206)</f>
        <v>0</v>
      </c>
      <c r="BH207" s="258">
        <f t="shared" si="385"/>
        <v>0</v>
      </c>
      <c r="BI207" s="258">
        <f t="shared" si="385"/>
        <v>0</v>
      </c>
      <c r="BJ207" s="258">
        <f t="shared" si="385"/>
        <v>0</v>
      </c>
      <c r="BK207" s="258">
        <f t="shared" si="385"/>
        <v>0</v>
      </c>
      <c r="BL207" s="258">
        <f t="shared" si="385"/>
        <v>0</v>
      </c>
      <c r="BN207" s="258">
        <f>SUM(BN197:BN206)</f>
        <v>4000782.8539999998</v>
      </c>
      <c r="BO207" s="258">
        <f t="shared" ref="BO207:BT207" si="386">SUM(BO197:BO206)</f>
        <v>0</v>
      </c>
      <c r="BP207" s="258">
        <f t="shared" si="386"/>
        <v>0</v>
      </c>
      <c r="BQ207" s="258">
        <f t="shared" si="386"/>
        <v>0</v>
      </c>
      <c r="BR207" s="258">
        <f t="shared" si="386"/>
        <v>0</v>
      </c>
      <c r="BS207" s="258">
        <f t="shared" si="386"/>
        <v>0</v>
      </c>
      <c r="BT207" s="258">
        <f t="shared" si="386"/>
        <v>4000782.8539999998</v>
      </c>
    </row>
    <row r="208" spans="1:73" ht="16.5" thickBot="1" x14ac:dyDescent="0.3">
      <c r="B208" s="259"/>
      <c r="C208" s="259"/>
      <c r="D208" s="259"/>
      <c r="E208" s="259"/>
      <c r="F208" s="259"/>
      <c r="G208" s="259"/>
      <c r="H208" s="259"/>
      <c r="J208" s="259"/>
      <c r="K208" s="259"/>
      <c r="L208" s="259"/>
      <c r="M208" s="259"/>
      <c r="N208" s="259"/>
      <c r="O208" s="259"/>
      <c r="P208" s="259"/>
      <c r="R208" s="259"/>
      <c r="S208" s="259"/>
      <c r="T208" s="259"/>
      <c r="U208" s="259"/>
      <c r="V208" s="259"/>
      <c r="W208" s="259"/>
      <c r="X208" s="259"/>
      <c r="Z208" s="259"/>
      <c r="AA208" s="259"/>
      <c r="AB208" s="259"/>
      <c r="AC208" s="259"/>
      <c r="AD208" s="259"/>
      <c r="AE208" s="259"/>
      <c r="AF208" s="259"/>
      <c r="AH208" s="259"/>
      <c r="AI208" s="259"/>
      <c r="AJ208" s="259"/>
      <c r="AK208" s="259"/>
      <c r="AL208" s="259"/>
      <c r="AM208" s="259"/>
      <c r="AN208" s="259"/>
      <c r="AP208" s="259"/>
      <c r="AQ208" s="259"/>
      <c r="AR208" s="259"/>
      <c r="AS208" s="259"/>
      <c r="AT208" s="259"/>
      <c r="AU208" s="259"/>
      <c r="AV208" s="259"/>
      <c r="AX208" s="259"/>
      <c r="AY208" s="259"/>
      <c r="AZ208" s="259"/>
      <c r="BA208" s="259"/>
      <c r="BB208" s="259"/>
      <c r="BC208" s="259"/>
      <c r="BD208" s="259"/>
      <c r="BF208" s="259"/>
      <c r="BG208" s="259"/>
      <c r="BH208" s="259"/>
      <c r="BI208" s="259"/>
      <c r="BJ208" s="259"/>
      <c r="BK208" s="259"/>
      <c r="BL208" s="259"/>
      <c r="BN208" s="259"/>
      <c r="BO208" s="259"/>
      <c r="BP208" s="259"/>
      <c r="BQ208" s="259"/>
      <c r="BR208" s="259"/>
      <c r="BS208" s="259"/>
      <c r="BT208" s="259"/>
    </row>
    <row r="209" spans="1:72" ht="16.5" thickBot="1" x14ac:dyDescent="0.3">
      <c r="A209" s="284" t="s">
        <v>338</v>
      </c>
      <c r="B209" s="264">
        <f t="shared" ref="B209:H209" si="387">B207+B194+B171+B159+B149+B141+B132+B125+B116+B109</f>
        <v>7687814.4622889999</v>
      </c>
      <c r="C209" s="264">
        <f t="shared" si="387"/>
        <v>1397474.71875</v>
      </c>
      <c r="D209" s="264">
        <f t="shared" si="387"/>
        <v>310308.17499999999</v>
      </c>
      <c r="E209" s="264">
        <f t="shared" si="387"/>
        <v>0</v>
      </c>
      <c r="F209" s="264">
        <f t="shared" si="387"/>
        <v>101127.625</v>
      </c>
      <c r="G209" s="264">
        <f t="shared" si="387"/>
        <v>300000</v>
      </c>
      <c r="H209" s="264">
        <f t="shared" si="387"/>
        <v>9796724.9810390007</v>
      </c>
      <c r="J209" s="264">
        <f t="shared" ref="J209:P209" si="388">J207+J194+J171+J159+J149+J141+J132+J125+J116+J109</f>
        <v>21466961.193240002</v>
      </c>
      <c r="K209" s="264">
        <f t="shared" si="388"/>
        <v>2782300.4619999998</v>
      </c>
      <c r="L209" s="264">
        <f t="shared" si="388"/>
        <v>689737.6875</v>
      </c>
      <c r="M209" s="264">
        <f t="shared" si="388"/>
        <v>0</v>
      </c>
      <c r="N209" s="264">
        <f t="shared" si="388"/>
        <v>49770</v>
      </c>
      <c r="O209" s="264">
        <f t="shared" si="388"/>
        <v>1500000</v>
      </c>
      <c r="P209" s="264">
        <f t="shared" si="388"/>
        <v>26488769.342739999</v>
      </c>
      <c r="R209" s="264">
        <f t="shared" ref="R209:X209" si="389">R207+R194+R171+R159+R149+R141+R132+R125+R116+R109</f>
        <v>8659089.6135245003</v>
      </c>
      <c r="S209" s="264">
        <f t="shared" si="389"/>
        <v>999449.67802500003</v>
      </c>
      <c r="T209" s="264">
        <f t="shared" si="389"/>
        <v>216279.671875</v>
      </c>
      <c r="U209" s="264">
        <f t="shared" si="389"/>
        <v>0</v>
      </c>
      <c r="V209" s="264">
        <f t="shared" si="389"/>
        <v>0</v>
      </c>
      <c r="W209" s="264">
        <f t="shared" si="389"/>
        <v>850000</v>
      </c>
      <c r="X209" s="264">
        <f t="shared" si="389"/>
        <v>10724818.9634245</v>
      </c>
      <c r="Z209" s="264">
        <f t="shared" ref="Z209:AF209" si="390">Z207+Z194+Z171+Z159+Z149+Z141+Z132+Z125+Z116+Z109</f>
        <v>10161817.7728115</v>
      </c>
      <c r="AA209" s="264">
        <f t="shared" si="390"/>
        <v>1152822.8428</v>
      </c>
      <c r="AB209" s="264">
        <f t="shared" si="390"/>
        <v>167553.8125</v>
      </c>
      <c r="AC209" s="264">
        <f t="shared" si="390"/>
        <v>0</v>
      </c>
      <c r="AD209" s="264">
        <f t="shared" si="390"/>
        <v>0</v>
      </c>
      <c r="AE209" s="264">
        <f t="shared" si="390"/>
        <v>900000</v>
      </c>
      <c r="AF209" s="264">
        <f t="shared" si="390"/>
        <v>12382194.428111499</v>
      </c>
      <c r="AH209" s="264">
        <f t="shared" ref="AH209:AN209" si="391">AH207+AH194+AH171+AH159+AH149+AH141+AH132+AH125+AH116+AH109</f>
        <v>20159196.947949998</v>
      </c>
      <c r="AI209" s="264">
        <f t="shared" si="391"/>
        <v>2570698.31</v>
      </c>
      <c r="AJ209" s="264">
        <f t="shared" si="391"/>
        <v>338957.9375</v>
      </c>
      <c r="AK209" s="264">
        <f t="shared" si="391"/>
        <v>0</v>
      </c>
      <c r="AL209" s="264">
        <f t="shared" si="391"/>
        <v>0</v>
      </c>
      <c r="AM209" s="264">
        <f t="shared" si="391"/>
        <v>2500000</v>
      </c>
      <c r="AN209" s="264">
        <f t="shared" si="391"/>
        <v>25568853.19545</v>
      </c>
      <c r="AP209" s="264">
        <f t="shared" ref="AP209:AV209" si="392">AP207+AP194+AP171+AP159+AP149+AP141+AP132+AP125+AP116+AP109</f>
        <v>5120028.7960000001</v>
      </c>
      <c r="AQ209" s="264">
        <f t="shared" si="392"/>
        <v>854605.15</v>
      </c>
      <c r="AR209" s="264">
        <f t="shared" si="392"/>
        <v>541793.20250000001</v>
      </c>
      <c r="AS209" s="264">
        <f t="shared" si="392"/>
        <v>0</v>
      </c>
      <c r="AT209" s="264">
        <f t="shared" si="392"/>
        <v>162977.49114</v>
      </c>
      <c r="AU209" s="264">
        <f t="shared" si="392"/>
        <v>100000</v>
      </c>
      <c r="AV209" s="264">
        <f t="shared" si="392"/>
        <v>6779404.6396400006</v>
      </c>
      <c r="AX209" s="264">
        <f t="shared" ref="AX209:BD209" si="393">AX207+AX194+AX171+AX159+AX149+AX141+AX132+AX125+AX116+AX109</f>
        <v>1473247.8305500001</v>
      </c>
      <c r="AY209" s="264">
        <f t="shared" si="393"/>
        <v>253502.80624999999</v>
      </c>
      <c r="AZ209" s="264">
        <f t="shared" si="393"/>
        <v>0</v>
      </c>
      <c r="BA209" s="264">
        <f t="shared" si="393"/>
        <v>0</v>
      </c>
      <c r="BB209" s="264">
        <f t="shared" si="393"/>
        <v>38216.886574999997</v>
      </c>
      <c r="BC209" s="264">
        <f t="shared" si="393"/>
        <v>25000</v>
      </c>
      <c r="BD209" s="264">
        <f t="shared" si="393"/>
        <v>1789967.5233749999</v>
      </c>
      <c r="BF209" s="264">
        <f t="shared" ref="BF209:BL209" si="394">BF207+BF194+BF171+BF159+BF149+BF141+BF132+BF125+BF116+BF109</f>
        <v>550271.47499999998</v>
      </c>
      <c r="BG209" s="264">
        <f t="shared" si="394"/>
        <v>0</v>
      </c>
      <c r="BH209" s="264">
        <f t="shared" si="394"/>
        <v>38701.09375</v>
      </c>
      <c r="BI209" s="264">
        <f t="shared" si="394"/>
        <v>0</v>
      </c>
      <c r="BJ209" s="264">
        <f t="shared" si="394"/>
        <v>781015.4375</v>
      </c>
      <c r="BK209" s="264">
        <f t="shared" si="394"/>
        <v>0</v>
      </c>
      <c r="BL209" s="264">
        <f t="shared" si="394"/>
        <v>1369988.0062500001</v>
      </c>
      <c r="BN209" s="264">
        <f t="shared" ref="BN209:BT209" si="395">BN207+BN194+BN171+BN159+BN149+BN141+BN132+BN125+BN116+BN109</f>
        <v>75278428.09136501</v>
      </c>
      <c r="BO209" s="264">
        <f t="shared" si="395"/>
        <v>10010853.967824999</v>
      </c>
      <c r="BP209" s="264">
        <f t="shared" si="395"/>
        <v>2303331.5806249999</v>
      </c>
      <c r="BQ209" s="264">
        <f t="shared" si="395"/>
        <v>0</v>
      </c>
      <c r="BR209" s="264">
        <f t="shared" si="395"/>
        <v>1133107.440215</v>
      </c>
      <c r="BS209" s="264">
        <f t="shared" si="395"/>
        <v>6175000</v>
      </c>
      <c r="BT209" s="264">
        <f t="shared" si="395"/>
        <v>94900721.080030009</v>
      </c>
    </row>
    <row r="210" spans="1:72" ht="16.5" thickBot="1" x14ac:dyDescent="0.3">
      <c r="B210" s="259"/>
      <c r="C210" s="259"/>
      <c r="D210" s="259"/>
      <c r="E210" s="259"/>
      <c r="F210" s="259"/>
      <c r="G210" s="259"/>
      <c r="H210" s="259"/>
    </row>
    <row r="211" spans="1:72" ht="16.5" thickBot="1" x14ac:dyDescent="0.3">
      <c r="A211" s="284" t="s">
        <v>339</v>
      </c>
      <c r="B211" s="265"/>
      <c r="C211" s="265"/>
      <c r="D211" s="265"/>
      <c r="E211" s="265"/>
      <c r="F211" s="265"/>
      <c r="G211" s="265"/>
      <c r="H211" s="265"/>
      <c r="J211" s="265"/>
      <c r="K211" s="265"/>
      <c r="L211" s="265"/>
      <c r="M211" s="265"/>
      <c r="N211" s="265"/>
      <c r="O211" s="265"/>
      <c r="P211" s="265"/>
      <c r="R211" s="265"/>
      <c r="S211" s="265"/>
      <c r="T211" s="265"/>
      <c r="U211" s="265"/>
      <c r="V211" s="265"/>
      <c r="W211" s="265"/>
      <c r="X211" s="265"/>
      <c r="Z211" s="265"/>
      <c r="AA211" s="265"/>
      <c r="AB211" s="265"/>
      <c r="AC211" s="265"/>
      <c r="AD211" s="265"/>
      <c r="AE211" s="265"/>
      <c r="AF211" s="265"/>
      <c r="AH211" s="265"/>
      <c r="AI211" s="265"/>
      <c r="AJ211" s="265"/>
      <c r="AK211" s="265"/>
      <c r="AL211" s="265"/>
      <c r="AM211" s="265"/>
      <c r="AN211" s="265"/>
      <c r="AP211" s="265"/>
      <c r="AQ211" s="265"/>
      <c r="AR211" s="265"/>
      <c r="AS211" s="265"/>
      <c r="AT211" s="265"/>
      <c r="AU211" s="265"/>
      <c r="AV211" s="265"/>
      <c r="AX211" s="265"/>
      <c r="AY211" s="265"/>
      <c r="AZ211" s="265"/>
      <c r="BA211" s="265"/>
      <c r="BB211" s="265"/>
      <c r="BC211" s="265"/>
      <c r="BD211" s="265"/>
      <c r="BF211" s="265"/>
      <c r="BG211" s="265"/>
      <c r="BH211" s="265"/>
      <c r="BI211" s="265"/>
      <c r="BJ211" s="265"/>
      <c r="BK211" s="265"/>
      <c r="BL211" s="265"/>
      <c r="BN211" s="265"/>
      <c r="BO211" s="265"/>
      <c r="BP211" s="265"/>
      <c r="BQ211" s="265"/>
      <c r="BR211" s="265"/>
      <c r="BS211" s="265"/>
      <c r="BT211" s="265"/>
    </row>
    <row r="212" spans="1:72" x14ac:dyDescent="0.25">
      <c r="A212" s="215" t="s">
        <v>304</v>
      </c>
      <c r="B212" s="266">
        <v>0</v>
      </c>
      <c r="C212" s="266"/>
      <c r="D212" s="266"/>
      <c r="E212" s="266"/>
      <c r="F212" s="266"/>
      <c r="G212" s="266"/>
      <c r="H212" s="241">
        <f>SUM(B212:G212)</f>
        <v>0</v>
      </c>
      <c r="J212" s="266">
        <v>2496200</v>
      </c>
      <c r="K212" s="266"/>
      <c r="L212" s="266"/>
      <c r="M212" s="266"/>
      <c r="N212" s="266"/>
      <c r="O212" s="266"/>
      <c r="P212" s="241">
        <f>SUM(J212:O212)</f>
        <v>2496200</v>
      </c>
      <c r="R212" s="266">
        <v>0</v>
      </c>
      <c r="S212" s="266"/>
      <c r="T212" s="266"/>
      <c r="U212" s="266"/>
      <c r="V212" s="266"/>
      <c r="W212" s="266"/>
      <c r="X212" s="241">
        <f>SUM(R212:W212)</f>
        <v>0</v>
      </c>
      <c r="Z212" s="266">
        <v>0</v>
      </c>
      <c r="AA212" s="266"/>
      <c r="AB212" s="266"/>
      <c r="AC212" s="266"/>
      <c r="AD212" s="266"/>
      <c r="AE212" s="266"/>
      <c r="AF212" s="241">
        <f>SUM(Z212:AE212)</f>
        <v>0</v>
      </c>
      <c r="AH212" s="266">
        <v>3355590</v>
      </c>
      <c r="AI212" s="266"/>
      <c r="AJ212" s="266"/>
      <c r="AK212" s="266"/>
      <c r="AL212" s="266"/>
      <c r="AM212" s="266"/>
      <c r="AN212" s="241">
        <f>SUM(AH212:AM212)</f>
        <v>3355590</v>
      </c>
      <c r="AP212" s="266"/>
      <c r="AQ212" s="266"/>
      <c r="AR212" s="266"/>
      <c r="AS212" s="266"/>
      <c r="AT212" s="266"/>
      <c r="AU212" s="266"/>
      <c r="AV212" s="241">
        <f>SUM(AP212:AU212)</f>
        <v>0</v>
      </c>
      <c r="AX212" s="266">
        <v>0</v>
      </c>
      <c r="AY212" s="266"/>
      <c r="AZ212" s="266"/>
      <c r="BA212" s="266"/>
      <c r="BB212" s="266"/>
      <c r="BC212" s="266"/>
      <c r="BD212" s="241">
        <f>SUM(AX212:BC212)</f>
        <v>0</v>
      </c>
      <c r="BF212" s="266"/>
      <c r="BG212" s="266"/>
      <c r="BH212" s="266"/>
      <c r="BI212" s="266"/>
      <c r="BJ212" s="266"/>
      <c r="BK212" s="266"/>
      <c r="BL212" s="241">
        <f>SUM(BF212:BK212)</f>
        <v>0</v>
      </c>
      <c r="BN212" s="241">
        <f>B212+J212+R212+Z212+AH212+AP212+AX212+BF212</f>
        <v>5851790</v>
      </c>
      <c r="BO212" s="241">
        <f t="shared" ref="BO212:BS215" si="396">C212+K212+S212+AA212+AI212+AQ212+AY212+BG212</f>
        <v>0</v>
      </c>
      <c r="BP212" s="241">
        <f t="shared" si="396"/>
        <v>0</v>
      </c>
      <c r="BQ212" s="241">
        <f t="shared" si="396"/>
        <v>0</v>
      </c>
      <c r="BR212" s="241">
        <f t="shared" si="396"/>
        <v>0</v>
      </c>
      <c r="BS212" s="241">
        <f t="shared" si="396"/>
        <v>0</v>
      </c>
      <c r="BT212" s="241">
        <f>SUM(BN212:BS212)</f>
        <v>5851790</v>
      </c>
    </row>
    <row r="213" spans="1:72" x14ac:dyDescent="0.25">
      <c r="A213" s="216" t="s">
        <v>389</v>
      </c>
      <c r="B213" s="267">
        <v>890043</v>
      </c>
      <c r="C213" s="267"/>
      <c r="D213" s="267"/>
      <c r="E213" s="267"/>
      <c r="F213" s="267"/>
      <c r="G213" s="267"/>
      <c r="H213" s="241">
        <f t="shared" ref="H213:H215" si="397">SUM(B213:G213)</f>
        <v>890043</v>
      </c>
      <c r="J213" s="267">
        <v>0</v>
      </c>
      <c r="K213" s="267"/>
      <c r="L213" s="267"/>
      <c r="M213" s="267"/>
      <c r="N213" s="267"/>
      <c r="O213" s="267"/>
      <c r="P213" s="241">
        <f t="shared" ref="P213:P215" si="398">SUM(J213:O213)</f>
        <v>0</v>
      </c>
      <c r="R213" s="267">
        <v>1007411</v>
      </c>
      <c r="S213" s="267"/>
      <c r="T213" s="267"/>
      <c r="U213" s="267"/>
      <c r="V213" s="267"/>
      <c r="W213" s="267"/>
      <c r="X213" s="241">
        <f t="shared" ref="X213:X215" si="399">SUM(R213:W213)</f>
        <v>1007411</v>
      </c>
      <c r="Z213" s="267">
        <v>1158033</v>
      </c>
      <c r="AA213" s="267"/>
      <c r="AB213" s="267"/>
      <c r="AC213" s="267"/>
      <c r="AD213" s="267"/>
      <c r="AE213" s="267"/>
      <c r="AF213" s="241">
        <f t="shared" ref="AF213:AF215" si="400">SUM(Z213:AE213)</f>
        <v>1158033</v>
      </c>
      <c r="AH213" s="267"/>
      <c r="AI213" s="267"/>
      <c r="AJ213" s="267"/>
      <c r="AK213" s="267"/>
      <c r="AL213" s="267"/>
      <c r="AM213" s="267"/>
      <c r="AN213" s="241">
        <f t="shared" ref="AN213:AN215" si="401">SUM(AH213:AM213)</f>
        <v>0</v>
      </c>
      <c r="AP213" s="267"/>
      <c r="AQ213" s="267"/>
      <c r="AR213" s="267"/>
      <c r="AS213" s="267"/>
      <c r="AT213" s="267"/>
      <c r="AU213" s="267"/>
      <c r="AV213" s="241">
        <f t="shared" ref="AV213:AV215" si="402">SUM(AP213:AU213)</f>
        <v>0</v>
      </c>
      <c r="AX213" s="267"/>
      <c r="AY213" s="267"/>
      <c r="AZ213" s="267"/>
      <c r="BA213" s="267"/>
      <c r="BB213" s="267"/>
      <c r="BC213" s="267"/>
      <c r="BD213" s="241">
        <f t="shared" ref="BD213:BD215" si="403">SUM(AX213:BC213)</f>
        <v>0</v>
      </c>
      <c r="BF213" s="267"/>
      <c r="BG213" s="267"/>
      <c r="BH213" s="267"/>
      <c r="BI213" s="267"/>
      <c r="BJ213" s="267"/>
      <c r="BK213" s="267"/>
      <c r="BL213" s="241">
        <f t="shared" ref="BL213:BL215" si="404">SUM(BF213:BK213)</f>
        <v>0</v>
      </c>
      <c r="BN213" s="241">
        <f t="shared" ref="BN213:BN215" si="405">B213+J213+R213+Z213+AH213+AP213+AX213+BF213</f>
        <v>3055487</v>
      </c>
      <c r="BO213" s="241">
        <f t="shared" si="396"/>
        <v>0</v>
      </c>
      <c r="BP213" s="241">
        <f t="shared" si="396"/>
        <v>0</v>
      </c>
      <c r="BQ213" s="241">
        <f t="shared" si="396"/>
        <v>0</v>
      </c>
      <c r="BR213" s="241">
        <f t="shared" si="396"/>
        <v>0</v>
      </c>
      <c r="BS213" s="241">
        <f t="shared" si="396"/>
        <v>0</v>
      </c>
      <c r="BT213" s="241">
        <f t="shared" ref="BT213:BT215" si="406">SUM(BN213:BS213)</f>
        <v>3055487</v>
      </c>
    </row>
    <row r="214" spans="1:72" x14ac:dyDescent="0.25">
      <c r="A214" s="216" t="s">
        <v>389</v>
      </c>
      <c r="B214" s="267"/>
      <c r="C214" s="267"/>
      <c r="D214" s="267"/>
      <c r="E214" s="267"/>
      <c r="F214" s="267"/>
      <c r="G214" s="267"/>
      <c r="H214" s="241">
        <f t="shared" si="397"/>
        <v>0</v>
      </c>
      <c r="J214" s="267">
        <v>0</v>
      </c>
      <c r="K214" s="267"/>
      <c r="L214" s="267"/>
      <c r="M214" s="267"/>
      <c r="N214" s="267"/>
      <c r="O214" s="267"/>
      <c r="P214" s="241">
        <f t="shared" si="398"/>
        <v>0</v>
      </c>
      <c r="R214" s="267"/>
      <c r="S214" s="267"/>
      <c r="T214" s="267"/>
      <c r="U214" s="267"/>
      <c r="V214" s="267"/>
      <c r="W214" s="267"/>
      <c r="X214" s="241">
        <f t="shared" si="399"/>
        <v>0</v>
      </c>
      <c r="Z214" s="267"/>
      <c r="AA214" s="267"/>
      <c r="AB214" s="267"/>
      <c r="AC214" s="267"/>
      <c r="AD214" s="267"/>
      <c r="AE214" s="267"/>
      <c r="AF214" s="241">
        <f t="shared" si="400"/>
        <v>0</v>
      </c>
      <c r="AH214" s="267"/>
      <c r="AI214" s="267"/>
      <c r="AJ214" s="267"/>
      <c r="AK214" s="267"/>
      <c r="AL214" s="267"/>
      <c r="AM214" s="267"/>
      <c r="AN214" s="241">
        <f t="shared" si="401"/>
        <v>0</v>
      </c>
      <c r="AP214" s="267">
        <v>1000000</v>
      </c>
      <c r="AQ214" s="267"/>
      <c r="AR214" s="267"/>
      <c r="AS214" s="267"/>
      <c r="AT214" s="267"/>
      <c r="AU214" s="267"/>
      <c r="AV214" s="241">
        <f t="shared" si="402"/>
        <v>1000000</v>
      </c>
      <c r="AX214" s="267"/>
      <c r="AY214" s="267"/>
      <c r="AZ214" s="267"/>
      <c r="BA214" s="267"/>
      <c r="BB214" s="267"/>
      <c r="BC214" s="267"/>
      <c r="BD214" s="241">
        <f t="shared" si="403"/>
        <v>0</v>
      </c>
      <c r="BF214" s="267"/>
      <c r="BG214" s="267"/>
      <c r="BH214" s="267"/>
      <c r="BI214" s="267"/>
      <c r="BJ214" s="267"/>
      <c r="BK214" s="267"/>
      <c r="BL214" s="241">
        <f t="shared" si="404"/>
        <v>0</v>
      </c>
      <c r="BN214" s="241">
        <f t="shared" si="405"/>
        <v>1000000</v>
      </c>
      <c r="BO214" s="241">
        <f t="shared" si="396"/>
        <v>0</v>
      </c>
      <c r="BP214" s="241">
        <f t="shared" si="396"/>
        <v>0</v>
      </c>
      <c r="BQ214" s="241">
        <f t="shared" si="396"/>
        <v>0</v>
      </c>
      <c r="BR214" s="241">
        <f t="shared" si="396"/>
        <v>0</v>
      </c>
      <c r="BS214" s="241">
        <f t="shared" si="396"/>
        <v>0</v>
      </c>
      <c r="BT214" s="241">
        <f t="shared" si="406"/>
        <v>1000000</v>
      </c>
    </row>
    <row r="215" spans="1:72" x14ac:dyDescent="0.25">
      <c r="A215" s="217" t="s">
        <v>307</v>
      </c>
      <c r="B215" s="268"/>
      <c r="C215" s="268"/>
      <c r="D215" s="268"/>
      <c r="E215" s="268"/>
      <c r="F215" s="268"/>
      <c r="G215" s="268"/>
      <c r="H215" s="241">
        <f t="shared" si="397"/>
        <v>0</v>
      </c>
      <c r="J215" s="268">
        <v>0</v>
      </c>
      <c r="K215" s="268"/>
      <c r="L215" s="268"/>
      <c r="M215" s="268"/>
      <c r="N215" s="268"/>
      <c r="O215" s="268"/>
      <c r="P215" s="241">
        <f t="shared" si="398"/>
        <v>0</v>
      </c>
      <c r="R215" s="268">
        <v>0</v>
      </c>
      <c r="S215" s="268"/>
      <c r="T215" s="268"/>
      <c r="U215" s="268"/>
      <c r="V215" s="268"/>
      <c r="W215" s="268"/>
      <c r="X215" s="241">
        <f t="shared" si="399"/>
        <v>0</v>
      </c>
      <c r="Z215" s="268">
        <v>0</v>
      </c>
      <c r="AA215" s="268"/>
      <c r="AB215" s="268"/>
      <c r="AC215" s="268"/>
      <c r="AD215" s="268"/>
      <c r="AE215" s="268"/>
      <c r="AF215" s="241">
        <f t="shared" si="400"/>
        <v>0</v>
      </c>
      <c r="AH215" s="268"/>
      <c r="AI215" s="268"/>
      <c r="AJ215" s="268"/>
      <c r="AK215" s="268"/>
      <c r="AL215" s="268"/>
      <c r="AM215" s="268"/>
      <c r="AN215" s="241">
        <f t="shared" si="401"/>
        <v>0</v>
      </c>
      <c r="AP215" s="268"/>
      <c r="AQ215" s="268"/>
      <c r="AR215" s="268"/>
      <c r="AS215" s="268"/>
      <c r="AT215" s="268"/>
      <c r="AU215" s="268"/>
      <c r="AV215" s="241">
        <f t="shared" si="402"/>
        <v>0</v>
      </c>
      <c r="AX215" s="268"/>
      <c r="AY215" s="268"/>
      <c r="AZ215" s="268"/>
      <c r="BA215" s="268"/>
      <c r="BB215" s="268"/>
      <c r="BC215" s="268"/>
      <c r="BD215" s="241">
        <f t="shared" si="403"/>
        <v>0</v>
      </c>
      <c r="BF215" s="268"/>
      <c r="BG215" s="268"/>
      <c r="BH215" s="268"/>
      <c r="BI215" s="268"/>
      <c r="BJ215" s="268"/>
      <c r="BK215" s="268"/>
      <c r="BL215" s="241">
        <f t="shared" si="404"/>
        <v>0</v>
      </c>
      <c r="BN215" s="241">
        <f t="shared" si="405"/>
        <v>0</v>
      </c>
      <c r="BO215" s="241">
        <f t="shared" si="396"/>
        <v>0</v>
      </c>
      <c r="BP215" s="241">
        <f t="shared" si="396"/>
        <v>0</v>
      </c>
      <c r="BQ215" s="241">
        <f t="shared" si="396"/>
        <v>0</v>
      </c>
      <c r="BR215" s="241">
        <f t="shared" si="396"/>
        <v>0</v>
      </c>
      <c r="BS215" s="241">
        <f t="shared" si="396"/>
        <v>0</v>
      </c>
      <c r="BT215" s="241">
        <f t="shared" si="406"/>
        <v>0</v>
      </c>
    </row>
    <row r="216" spans="1:72" x14ac:dyDescent="0.25">
      <c r="A216" s="207"/>
      <c r="B216" s="258">
        <f>SUM(B212:B215)</f>
        <v>890043</v>
      </c>
      <c r="C216" s="258">
        <f t="shared" ref="C216:H216" si="407">SUM(C212:C215)</f>
        <v>0</v>
      </c>
      <c r="D216" s="258">
        <f t="shared" si="407"/>
        <v>0</v>
      </c>
      <c r="E216" s="258">
        <f t="shared" si="407"/>
        <v>0</v>
      </c>
      <c r="F216" s="258">
        <f t="shared" si="407"/>
        <v>0</v>
      </c>
      <c r="G216" s="258">
        <f t="shared" si="407"/>
        <v>0</v>
      </c>
      <c r="H216" s="258">
        <f t="shared" si="407"/>
        <v>890043</v>
      </c>
      <c r="J216" s="258">
        <f>SUM(J212:J215)</f>
        <v>2496200</v>
      </c>
      <c r="K216" s="258">
        <f t="shared" ref="K216:P216" si="408">SUM(K212:K215)</f>
        <v>0</v>
      </c>
      <c r="L216" s="258">
        <f t="shared" si="408"/>
        <v>0</v>
      </c>
      <c r="M216" s="258">
        <f t="shared" si="408"/>
        <v>0</v>
      </c>
      <c r="N216" s="258">
        <f t="shared" si="408"/>
        <v>0</v>
      </c>
      <c r="O216" s="258">
        <f t="shared" si="408"/>
        <v>0</v>
      </c>
      <c r="P216" s="258">
        <f t="shared" si="408"/>
        <v>2496200</v>
      </c>
      <c r="R216" s="258">
        <f>SUM(R212:R215)</f>
        <v>1007411</v>
      </c>
      <c r="S216" s="258">
        <f t="shared" ref="S216:X216" si="409">SUM(S212:S215)</f>
        <v>0</v>
      </c>
      <c r="T216" s="258">
        <f t="shared" si="409"/>
        <v>0</v>
      </c>
      <c r="U216" s="258">
        <f t="shared" si="409"/>
        <v>0</v>
      </c>
      <c r="V216" s="258">
        <f t="shared" si="409"/>
        <v>0</v>
      </c>
      <c r="W216" s="258">
        <f t="shared" si="409"/>
        <v>0</v>
      </c>
      <c r="X216" s="258">
        <f t="shared" si="409"/>
        <v>1007411</v>
      </c>
      <c r="Z216" s="258">
        <f>SUM(Z212:Z215)</f>
        <v>1158033</v>
      </c>
      <c r="AA216" s="258">
        <f t="shared" ref="AA216:AF216" si="410">SUM(AA212:AA215)</f>
        <v>0</v>
      </c>
      <c r="AB216" s="258">
        <f t="shared" si="410"/>
        <v>0</v>
      </c>
      <c r="AC216" s="258">
        <f t="shared" si="410"/>
        <v>0</v>
      </c>
      <c r="AD216" s="258">
        <f t="shared" si="410"/>
        <v>0</v>
      </c>
      <c r="AE216" s="258">
        <f t="shared" si="410"/>
        <v>0</v>
      </c>
      <c r="AF216" s="258">
        <f t="shared" si="410"/>
        <v>1158033</v>
      </c>
      <c r="AH216" s="258">
        <f>SUM(AH212:AH215)</f>
        <v>3355590</v>
      </c>
      <c r="AI216" s="258">
        <f t="shared" ref="AI216:AN216" si="411">SUM(AI212:AI215)</f>
        <v>0</v>
      </c>
      <c r="AJ216" s="258">
        <f t="shared" si="411"/>
        <v>0</v>
      </c>
      <c r="AK216" s="258">
        <f t="shared" si="411"/>
        <v>0</v>
      </c>
      <c r="AL216" s="258">
        <f t="shared" si="411"/>
        <v>0</v>
      </c>
      <c r="AM216" s="258">
        <f t="shared" si="411"/>
        <v>0</v>
      </c>
      <c r="AN216" s="258">
        <f t="shared" si="411"/>
        <v>3355590</v>
      </c>
      <c r="AP216" s="258">
        <f>SUM(AP212:AP215)</f>
        <v>1000000</v>
      </c>
      <c r="AQ216" s="258">
        <f t="shared" ref="AQ216:AV216" si="412">SUM(AQ212:AQ215)</f>
        <v>0</v>
      </c>
      <c r="AR216" s="258">
        <f t="shared" si="412"/>
        <v>0</v>
      </c>
      <c r="AS216" s="258">
        <f t="shared" si="412"/>
        <v>0</v>
      </c>
      <c r="AT216" s="258">
        <f t="shared" si="412"/>
        <v>0</v>
      </c>
      <c r="AU216" s="258">
        <f t="shared" si="412"/>
        <v>0</v>
      </c>
      <c r="AV216" s="258">
        <f t="shared" si="412"/>
        <v>1000000</v>
      </c>
      <c r="AX216" s="258">
        <f>SUM(AX212:AX215)</f>
        <v>0</v>
      </c>
      <c r="AY216" s="258">
        <f t="shared" ref="AY216:BD216" si="413">SUM(AY212:AY215)</f>
        <v>0</v>
      </c>
      <c r="AZ216" s="258">
        <f t="shared" si="413"/>
        <v>0</v>
      </c>
      <c r="BA216" s="258">
        <f t="shared" si="413"/>
        <v>0</v>
      </c>
      <c r="BB216" s="258">
        <f t="shared" si="413"/>
        <v>0</v>
      </c>
      <c r="BC216" s="258">
        <f t="shared" si="413"/>
        <v>0</v>
      </c>
      <c r="BD216" s="258">
        <f t="shared" si="413"/>
        <v>0</v>
      </c>
      <c r="BF216" s="258">
        <f>SUM(BF212:BF215)</f>
        <v>0</v>
      </c>
      <c r="BG216" s="258">
        <f t="shared" ref="BG216:BL216" si="414">SUM(BG212:BG215)</f>
        <v>0</v>
      </c>
      <c r="BH216" s="258">
        <f t="shared" si="414"/>
        <v>0</v>
      </c>
      <c r="BI216" s="258">
        <f t="shared" si="414"/>
        <v>0</v>
      </c>
      <c r="BJ216" s="258">
        <f t="shared" si="414"/>
        <v>0</v>
      </c>
      <c r="BK216" s="258">
        <f t="shared" si="414"/>
        <v>0</v>
      </c>
      <c r="BL216" s="258">
        <f t="shared" si="414"/>
        <v>0</v>
      </c>
      <c r="BN216" s="258">
        <f>SUM(BN212:BN215)</f>
        <v>9907277</v>
      </c>
      <c r="BO216" s="258">
        <f t="shared" ref="BO216:BT216" si="415">SUM(BO212:BO215)</f>
        <v>0</v>
      </c>
      <c r="BP216" s="258">
        <f t="shared" si="415"/>
        <v>0</v>
      </c>
      <c r="BQ216" s="258">
        <f t="shared" si="415"/>
        <v>0</v>
      </c>
      <c r="BR216" s="258">
        <f t="shared" si="415"/>
        <v>0</v>
      </c>
      <c r="BS216" s="258">
        <f t="shared" si="415"/>
        <v>0</v>
      </c>
      <c r="BT216" s="258">
        <f t="shared" si="415"/>
        <v>9907277</v>
      </c>
    </row>
    <row r="217" spans="1:72" ht="16.5" thickBot="1" x14ac:dyDescent="0.3">
      <c r="B217" s="259"/>
      <c r="C217" s="259"/>
      <c r="D217" s="259"/>
      <c r="E217" s="259"/>
      <c r="F217" s="259"/>
      <c r="G217" s="259"/>
      <c r="H217" s="259"/>
      <c r="J217" s="259"/>
      <c r="K217" s="259"/>
      <c r="L217" s="259"/>
      <c r="M217" s="259"/>
      <c r="N217" s="259"/>
      <c r="O217" s="259"/>
      <c r="P217" s="259"/>
      <c r="R217" s="259"/>
      <c r="S217" s="259"/>
      <c r="T217" s="259"/>
      <c r="U217" s="259"/>
      <c r="V217" s="259"/>
      <c r="W217" s="259"/>
      <c r="X217" s="259"/>
      <c r="Z217" s="259"/>
      <c r="AA217" s="259"/>
      <c r="AB217" s="259"/>
      <c r="AC217" s="259"/>
      <c r="AD217" s="259"/>
      <c r="AE217" s="259"/>
      <c r="AF217" s="259"/>
      <c r="AH217" s="259"/>
      <c r="AI217" s="259"/>
      <c r="AJ217" s="259"/>
      <c r="AK217" s="259"/>
      <c r="AL217" s="259"/>
      <c r="AM217" s="259"/>
      <c r="AN217" s="259"/>
      <c r="AP217" s="259"/>
      <c r="AQ217" s="259"/>
      <c r="AR217" s="259"/>
      <c r="AS217" s="259"/>
      <c r="AT217" s="259"/>
      <c r="AU217" s="259"/>
      <c r="AV217" s="259"/>
      <c r="AX217" s="259"/>
      <c r="AY217" s="259"/>
      <c r="AZ217" s="259"/>
      <c r="BA217" s="259"/>
      <c r="BB217" s="259"/>
      <c r="BC217" s="259"/>
      <c r="BD217" s="259"/>
      <c r="BF217" s="259"/>
      <c r="BG217" s="259"/>
      <c r="BH217" s="259"/>
      <c r="BI217" s="259"/>
      <c r="BJ217" s="259"/>
      <c r="BK217" s="259"/>
      <c r="BL217" s="259"/>
      <c r="BN217" s="259"/>
      <c r="BO217" s="259"/>
      <c r="BP217" s="259"/>
      <c r="BQ217" s="259"/>
      <c r="BR217" s="259"/>
      <c r="BS217" s="259"/>
      <c r="BT217" s="259"/>
    </row>
    <row r="218" spans="1:72" ht="16.5" thickBot="1" x14ac:dyDescent="0.3">
      <c r="A218" s="218" t="s">
        <v>340</v>
      </c>
      <c r="B218" s="269">
        <f t="shared" ref="B218:H218" si="416">(B82+B88)-(B216+B209)</f>
        <v>784033.53771100007</v>
      </c>
      <c r="C218" s="269">
        <f t="shared" si="416"/>
        <v>-715711.71875</v>
      </c>
      <c r="D218" s="269">
        <f t="shared" si="416"/>
        <v>-51603.174999999988</v>
      </c>
      <c r="E218" s="269">
        <f t="shared" si="416"/>
        <v>0</v>
      </c>
      <c r="F218" s="269">
        <f t="shared" si="416"/>
        <v>-5915.625</v>
      </c>
      <c r="G218" s="269">
        <f t="shared" si="416"/>
        <v>0</v>
      </c>
      <c r="H218" s="269">
        <f t="shared" si="416"/>
        <v>10803.018960999325</v>
      </c>
      <c r="J218" s="269">
        <f t="shared" ref="J218:P218" si="417">(J82+J88)-(J216+J209)</f>
        <v>1468512.8067599982</v>
      </c>
      <c r="K218" s="269">
        <f t="shared" si="417"/>
        <v>-998805.46199999982</v>
      </c>
      <c r="L218" s="269">
        <f t="shared" si="417"/>
        <v>-174937.6875</v>
      </c>
      <c r="M218" s="269">
        <f t="shared" si="417"/>
        <v>0</v>
      </c>
      <c r="N218" s="269">
        <f t="shared" si="417"/>
        <v>0</v>
      </c>
      <c r="O218" s="269">
        <f t="shared" si="417"/>
        <v>0</v>
      </c>
      <c r="P218" s="269">
        <f t="shared" si="417"/>
        <v>294769.65726000071</v>
      </c>
      <c r="R218" s="269">
        <f t="shared" ref="R218:X218" si="418">(R82+R88)-(R216+R209)</f>
        <v>605803.38647549972</v>
      </c>
      <c r="S218" s="269">
        <f t="shared" si="418"/>
        <v>-496784.67802500003</v>
      </c>
      <c r="T218" s="269">
        <f t="shared" si="418"/>
        <v>-77067.671875</v>
      </c>
      <c r="U218" s="269">
        <f t="shared" si="418"/>
        <v>0</v>
      </c>
      <c r="V218" s="269">
        <f t="shared" si="418"/>
        <v>0</v>
      </c>
      <c r="W218" s="269">
        <f t="shared" si="418"/>
        <v>0</v>
      </c>
      <c r="X218" s="269">
        <f t="shared" si="418"/>
        <v>31951.036575499922</v>
      </c>
      <c r="Z218" s="269">
        <f t="shared" ref="Z218:AF218" si="419">(Z82+Z88)-(Z216+Z209)</f>
        <v>637403.22718849964</v>
      </c>
      <c r="AA218" s="269">
        <f t="shared" si="419"/>
        <v>-549820.84279999998</v>
      </c>
      <c r="AB218" s="269">
        <f t="shared" si="419"/>
        <v>-75680.012500000012</v>
      </c>
      <c r="AC218" s="269">
        <f t="shared" si="419"/>
        <v>0</v>
      </c>
      <c r="AD218" s="269">
        <f t="shared" si="419"/>
        <v>0</v>
      </c>
      <c r="AE218" s="269">
        <f t="shared" si="419"/>
        <v>0</v>
      </c>
      <c r="AF218" s="269">
        <f t="shared" si="419"/>
        <v>11902.37188850157</v>
      </c>
      <c r="AH218" s="269">
        <f t="shared" ref="AH218:AN218" si="420">(AH82+AH88)-(AH216+AH209)</f>
        <v>1512728.0520500019</v>
      </c>
      <c r="AI218" s="269">
        <f t="shared" si="420"/>
        <v>-1293052.31</v>
      </c>
      <c r="AJ218" s="269">
        <f t="shared" si="420"/>
        <v>-102187.73749999999</v>
      </c>
      <c r="AK218" s="269">
        <f t="shared" si="420"/>
        <v>0</v>
      </c>
      <c r="AL218" s="269">
        <f t="shared" si="420"/>
        <v>0</v>
      </c>
      <c r="AM218" s="269">
        <f t="shared" si="420"/>
        <v>0</v>
      </c>
      <c r="AN218" s="269">
        <f t="shared" si="420"/>
        <v>117488.00454999879</v>
      </c>
      <c r="AP218" s="269">
        <f t="shared" ref="AP218:AV218" si="421">(AP82+AP88)-(AP216+AP209)</f>
        <v>759216.20399999991</v>
      </c>
      <c r="AQ218" s="269">
        <f t="shared" si="421"/>
        <v>-662715.15</v>
      </c>
      <c r="AR218" s="269">
        <f t="shared" si="421"/>
        <v>-3546.4024999999674</v>
      </c>
      <c r="AS218" s="269">
        <f t="shared" si="421"/>
        <v>0</v>
      </c>
      <c r="AT218" s="269">
        <f t="shared" si="421"/>
        <v>-57977.491139999998</v>
      </c>
      <c r="AU218" s="269">
        <f t="shared" si="421"/>
        <v>0</v>
      </c>
      <c r="AV218" s="269">
        <f t="shared" si="421"/>
        <v>34977.160359999165</v>
      </c>
      <c r="AX218" s="269">
        <f t="shared" ref="AX218:BD218" si="422">(AX82+AX88)-(AX216+AX209)</f>
        <v>348210.16944999993</v>
      </c>
      <c r="AY218" s="269">
        <f t="shared" si="422"/>
        <v>-139789.80624999999</v>
      </c>
      <c r="AZ218" s="269">
        <f t="shared" si="422"/>
        <v>0</v>
      </c>
      <c r="BA218" s="269">
        <f t="shared" si="422"/>
        <v>0</v>
      </c>
      <c r="BB218" s="269">
        <f t="shared" si="422"/>
        <v>-14696.886574999997</v>
      </c>
      <c r="BC218" s="269">
        <f t="shared" si="422"/>
        <v>0</v>
      </c>
      <c r="BD218" s="269">
        <f t="shared" si="422"/>
        <v>193723.47662500013</v>
      </c>
      <c r="BF218" s="269">
        <f t="shared" ref="BF218:BL218" si="423">(BF82+BF88)-(BF216+BF209)</f>
        <v>109728.52500000002</v>
      </c>
      <c r="BG218" s="269">
        <f t="shared" si="423"/>
        <v>0</v>
      </c>
      <c r="BH218" s="269">
        <f t="shared" si="423"/>
        <v>-38701.09375</v>
      </c>
      <c r="BI218" s="269">
        <f t="shared" si="423"/>
        <v>0</v>
      </c>
      <c r="BJ218" s="269">
        <f t="shared" si="423"/>
        <v>-33588.4375</v>
      </c>
      <c r="BK218" s="269">
        <f t="shared" si="423"/>
        <v>0</v>
      </c>
      <c r="BL218" s="269">
        <f t="shared" si="423"/>
        <v>37438.993749999907</v>
      </c>
      <c r="BN218" s="269">
        <f t="shared" ref="BN218:BT218" si="424">(BN82+BN88)-(BN216+BN209)</f>
        <v>6225635.9086349905</v>
      </c>
      <c r="BO218" s="269">
        <f t="shared" si="424"/>
        <v>-4856679.9678249992</v>
      </c>
      <c r="BP218" s="269">
        <f t="shared" si="424"/>
        <v>-523723.7806249999</v>
      </c>
      <c r="BQ218" s="269">
        <f t="shared" si="424"/>
        <v>0</v>
      </c>
      <c r="BR218" s="269">
        <f t="shared" si="424"/>
        <v>-112178.44021499995</v>
      </c>
      <c r="BS218" s="269">
        <f t="shared" si="424"/>
        <v>0</v>
      </c>
      <c r="BT218" s="269">
        <f t="shared" si="424"/>
        <v>733053.71996998787</v>
      </c>
    </row>
    <row r="219" spans="1:72" x14ac:dyDescent="0.25">
      <c r="B219" s="259"/>
      <c r="C219" s="259"/>
      <c r="D219" s="259"/>
      <c r="E219" s="259"/>
      <c r="F219" s="259"/>
      <c r="G219" s="259"/>
      <c r="H219" s="270">
        <f>H218/(H68+H69+H70)</f>
        <v>1.2029430195965149E-3</v>
      </c>
      <c r="J219" s="259"/>
      <c r="K219" s="259"/>
      <c r="L219" s="259"/>
      <c r="M219" s="259"/>
      <c r="N219" s="259"/>
      <c r="O219" s="259"/>
      <c r="P219" s="270">
        <f>P218/(P68+P69+P70)</f>
        <v>1.2227669171329216E-2</v>
      </c>
      <c r="R219" s="259"/>
      <c r="S219" s="259"/>
      <c r="T219" s="259"/>
      <c r="U219" s="259"/>
      <c r="V219" s="259"/>
      <c r="W219" s="259"/>
      <c r="X219" s="270">
        <f>X218/(X68+X69+X70)</f>
        <v>3.2141494213612102E-3</v>
      </c>
      <c r="Z219" s="259"/>
      <c r="AA219" s="259"/>
      <c r="AB219" s="259"/>
      <c r="AC219" s="259"/>
      <c r="AD219" s="259"/>
      <c r="AE219" s="259"/>
      <c r="AF219" s="270">
        <f>AF218/(AF68+AF69+AF70)</f>
        <v>1.0254252977062077E-3</v>
      </c>
      <c r="AH219" s="259"/>
      <c r="AI219" s="259"/>
      <c r="AJ219" s="259"/>
      <c r="AK219" s="259"/>
      <c r="AL219" s="259"/>
      <c r="AM219" s="259"/>
      <c r="AN219" s="270">
        <f>AN218/(AN68+AN69+AN70)</f>
        <v>4.8974935216218813E-3</v>
      </c>
      <c r="AP219" s="259"/>
      <c r="AQ219" s="259"/>
      <c r="AR219" s="259"/>
      <c r="AS219" s="259"/>
      <c r="AT219" s="259"/>
      <c r="AU219" s="259"/>
      <c r="AV219" s="270">
        <f>AV218/(AV68+AV69+AV70)</f>
        <v>5.2461189531806864E-3</v>
      </c>
      <c r="AX219" s="259"/>
      <c r="AY219" s="259"/>
      <c r="AZ219" s="259"/>
      <c r="BA219" s="259"/>
      <c r="BB219" s="259"/>
      <c r="BC219" s="259"/>
      <c r="BD219" s="270">
        <f>BD218/(BD68+BD69+BD70)</f>
        <v>0.11166120242005123</v>
      </c>
      <c r="BF219" s="259"/>
      <c r="BG219" s="259"/>
      <c r="BH219" s="259"/>
      <c r="BI219" s="259"/>
      <c r="BJ219" s="259"/>
      <c r="BK219" s="259"/>
      <c r="BL219" s="270" t="e">
        <f>BL218/(BL68+BL69+BL70)</f>
        <v>#DIV/0!</v>
      </c>
      <c r="BN219" s="259"/>
      <c r="BO219" s="259"/>
      <c r="BP219" s="259"/>
      <c r="BQ219" s="259"/>
      <c r="BR219" s="259"/>
      <c r="BS219" s="259"/>
      <c r="BT219" s="270">
        <f>BT218/(BT68+BT69+BT70)</f>
        <v>8.4233057049234398E-3</v>
      </c>
    </row>
    <row r="220" spans="1:72" x14ac:dyDescent="0.25">
      <c r="A220" s="219" t="str">
        <f>A1</f>
        <v>Pinecrest Academy - FY27</v>
      </c>
      <c r="B220" s="271" t="str">
        <f t="shared" ref="B220:H220" si="425">B20</f>
        <v>Operating</v>
      </c>
      <c r="C220" s="271" t="str">
        <f t="shared" si="425"/>
        <v>SPED</v>
      </c>
      <c r="D220" s="271" t="str">
        <f t="shared" si="425"/>
        <v>NSLP</v>
      </c>
      <c r="E220" s="271" t="str">
        <f t="shared" si="425"/>
        <v>Other</v>
      </c>
      <c r="F220" s="271" t="str">
        <f t="shared" si="425"/>
        <v>Titles/Grants</v>
      </c>
      <c r="G220" s="271" t="str">
        <f t="shared" si="425"/>
        <v>SGF</v>
      </c>
      <c r="H220" s="271" t="str">
        <f t="shared" si="425"/>
        <v>Horizon</v>
      </c>
      <c r="J220" s="271" t="str">
        <f t="shared" ref="J220:P220" si="426">J20</f>
        <v>Operating</v>
      </c>
      <c r="K220" s="271" t="str">
        <f t="shared" si="426"/>
        <v>SPED</v>
      </c>
      <c r="L220" s="271" t="str">
        <f t="shared" si="426"/>
        <v>NSLP</v>
      </c>
      <c r="M220" s="271" t="str">
        <f t="shared" si="426"/>
        <v>Other</v>
      </c>
      <c r="N220" s="271" t="str">
        <f t="shared" si="426"/>
        <v>Titles/Grants</v>
      </c>
      <c r="O220" s="271" t="str">
        <f t="shared" si="426"/>
        <v>SGF</v>
      </c>
      <c r="P220" s="271" t="str">
        <f t="shared" si="426"/>
        <v>Cadence</v>
      </c>
      <c r="R220" s="271" t="str">
        <f t="shared" ref="R220:X220" si="427">R20</f>
        <v>Operating</v>
      </c>
      <c r="S220" s="271" t="str">
        <f t="shared" si="427"/>
        <v>SPED</v>
      </c>
      <c r="T220" s="271" t="str">
        <f t="shared" si="427"/>
        <v>NSLP</v>
      </c>
      <c r="U220" s="271" t="str">
        <f t="shared" si="427"/>
        <v>Other</v>
      </c>
      <c r="V220" s="271" t="str">
        <f t="shared" si="427"/>
        <v>Titles/Grants</v>
      </c>
      <c r="W220" s="271" t="str">
        <f t="shared" si="427"/>
        <v>SGF</v>
      </c>
      <c r="X220" s="271" t="str">
        <f t="shared" si="427"/>
        <v>St. Rose</v>
      </c>
      <c r="Z220" s="271" t="str">
        <f t="shared" ref="Z220:AF220" si="428">Z20</f>
        <v>Operating</v>
      </c>
      <c r="AA220" s="271" t="str">
        <f t="shared" si="428"/>
        <v>SPED</v>
      </c>
      <c r="AB220" s="271" t="str">
        <f t="shared" si="428"/>
        <v>NSLP</v>
      </c>
      <c r="AC220" s="271" t="str">
        <f t="shared" si="428"/>
        <v>Other</v>
      </c>
      <c r="AD220" s="271" t="str">
        <f t="shared" si="428"/>
        <v>Titles/Grants</v>
      </c>
      <c r="AE220" s="271" t="str">
        <f t="shared" si="428"/>
        <v>SGF</v>
      </c>
      <c r="AF220" s="271" t="str">
        <f t="shared" si="428"/>
        <v>Inspirada</v>
      </c>
      <c r="AH220" s="271" t="str">
        <f t="shared" ref="AH220:AN220" si="429">AH20</f>
        <v>Operating</v>
      </c>
      <c r="AI220" s="271" t="str">
        <f t="shared" si="429"/>
        <v>SPED</v>
      </c>
      <c r="AJ220" s="271" t="str">
        <f t="shared" si="429"/>
        <v>NSLP</v>
      </c>
      <c r="AK220" s="271" t="str">
        <f t="shared" si="429"/>
        <v>Other</v>
      </c>
      <c r="AL220" s="271" t="str">
        <f t="shared" si="429"/>
        <v>Titles/Grants</v>
      </c>
      <c r="AM220" s="271" t="str">
        <f t="shared" si="429"/>
        <v>SGF</v>
      </c>
      <c r="AN220" s="271" t="str">
        <f t="shared" si="429"/>
        <v>Sloan</v>
      </c>
      <c r="AP220" s="271" t="str">
        <f t="shared" ref="AP220:AV220" si="430">AP20</f>
        <v>Operating</v>
      </c>
      <c r="AQ220" s="271" t="str">
        <f t="shared" si="430"/>
        <v>SPED</v>
      </c>
      <c r="AR220" s="271" t="str">
        <f t="shared" si="430"/>
        <v>NSLP</v>
      </c>
      <c r="AS220" s="271" t="str">
        <f t="shared" si="430"/>
        <v>Other</v>
      </c>
      <c r="AT220" s="271" t="str">
        <f t="shared" si="430"/>
        <v>Titles/Grants</v>
      </c>
      <c r="AU220" s="271" t="str">
        <f t="shared" si="430"/>
        <v>SGF</v>
      </c>
      <c r="AV220" s="271" t="str">
        <f t="shared" si="430"/>
        <v>Springs</v>
      </c>
      <c r="AX220" s="271" t="str">
        <f t="shared" ref="AX220:BD220" si="431">AX20</f>
        <v>Operating</v>
      </c>
      <c r="AY220" s="271" t="str">
        <f t="shared" si="431"/>
        <v>SPED</v>
      </c>
      <c r="AZ220" s="271" t="str">
        <f t="shared" si="431"/>
        <v>NSLP</v>
      </c>
      <c r="BA220" s="271" t="str">
        <f t="shared" si="431"/>
        <v>Other</v>
      </c>
      <c r="BB220" s="271" t="str">
        <f t="shared" si="431"/>
        <v>Titles/Grants</v>
      </c>
      <c r="BC220" s="271" t="str">
        <f t="shared" si="431"/>
        <v>SGF</v>
      </c>
      <c r="BD220" s="271" t="str">
        <f t="shared" si="431"/>
        <v>Virtual</v>
      </c>
      <c r="BF220" s="271" t="str">
        <f t="shared" ref="BF220:BL220" si="432">BF20</f>
        <v>Operating</v>
      </c>
      <c r="BG220" s="271" t="str">
        <f t="shared" si="432"/>
        <v>SPED</v>
      </c>
      <c r="BH220" s="271" t="str">
        <f t="shared" si="432"/>
        <v>NSLP</v>
      </c>
      <c r="BI220" s="271" t="str">
        <f t="shared" si="432"/>
        <v>Other</v>
      </c>
      <c r="BJ220" s="271" t="str">
        <f t="shared" si="432"/>
        <v>Titles/Grants</v>
      </c>
      <c r="BK220" s="271" t="str">
        <f t="shared" si="432"/>
        <v>SGF</v>
      </c>
      <c r="BL220" s="271" t="str">
        <f t="shared" si="432"/>
        <v>Central</v>
      </c>
      <c r="BN220" s="271" t="str">
        <f t="shared" ref="BN220:BT220" si="433">BN20</f>
        <v>Operating</v>
      </c>
      <c r="BO220" s="271" t="str">
        <f t="shared" si="433"/>
        <v>SPED</v>
      </c>
      <c r="BP220" s="271" t="str">
        <f t="shared" si="433"/>
        <v>NSLP</v>
      </c>
      <c r="BQ220" s="271" t="str">
        <f t="shared" si="433"/>
        <v>Other</v>
      </c>
      <c r="BR220" s="271" t="str">
        <f t="shared" si="433"/>
        <v>Titles/Grants</v>
      </c>
      <c r="BS220" s="271" t="str">
        <f t="shared" si="433"/>
        <v>SGF</v>
      </c>
      <c r="BT220" s="271" t="str">
        <f t="shared" si="433"/>
        <v>System</v>
      </c>
    </row>
    <row r="222" spans="1:72" x14ac:dyDescent="0.25">
      <c r="D222" s="225"/>
      <c r="L222" s="225">
        <f>(L80+L81)-(L180+L181)</f>
        <v>88875</v>
      </c>
      <c r="AB222" s="225"/>
      <c r="AR222" s="225"/>
    </row>
    <row r="223" spans="1:72" x14ac:dyDescent="0.25">
      <c r="T223" s="225"/>
      <c r="U223" s="274"/>
      <c r="AJ223" s="225"/>
    </row>
    <row r="224" spans="1:72" x14ac:dyDescent="0.25">
      <c r="U224" s="274"/>
    </row>
    <row r="225" spans="16:40" x14ac:dyDescent="0.25">
      <c r="P225" s="225"/>
      <c r="U225" s="274"/>
    </row>
    <row r="226" spans="16:40" x14ac:dyDescent="0.25">
      <c r="U226" s="274"/>
    </row>
    <row r="227" spans="16:40" x14ac:dyDescent="0.25">
      <c r="U227" s="274"/>
    </row>
    <row r="228" spans="16:40" x14ac:dyDescent="0.25">
      <c r="U228" s="274"/>
    </row>
    <row r="229" spans="16:40" x14ac:dyDescent="0.25">
      <c r="U229" s="274"/>
    </row>
    <row r="230" spans="16:40" x14ac:dyDescent="0.25">
      <c r="U230" s="274"/>
      <c r="AN230" s="225"/>
    </row>
    <row r="231" spans="16:40" x14ac:dyDescent="0.25">
      <c r="U231" s="274"/>
      <c r="AN231" s="225"/>
    </row>
    <row r="232" spans="16:40" x14ac:dyDescent="0.25">
      <c r="U232" s="274"/>
    </row>
    <row r="233" spans="16:40" x14ac:dyDescent="0.25">
      <c r="U233" s="274"/>
    </row>
    <row r="234" spans="16:40" x14ac:dyDescent="0.25">
      <c r="U234" s="274"/>
    </row>
    <row r="244" spans="13:13" x14ac:dyDescent="0.25">
      <c r="M244" s="116">
        <v>9416</v>
      </c>
    </row>
    <row r="245" spans="13:13" x14ac:dyDescent="0.25">
      <c r="M245" s="116">
        <v>30</v>
      </c>
    </row>
    <row r="246" spans="13:13" x14ac:dyDescent="0.25">
      <c r="M246" s="274">
        <f>M244*M245</f>
        <v>282480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958F-DB71-4A0C-BF6B-8BDC0F28F015}">
  <dimension ref="A1:BU246"/>
  <sheetViews>
    <sheetView topLeftCell="A30" zoomScale="90" zoomScaleNormal="90" workbookViewId="0">
      <pane xSplit="1" topLeftCell="AQ1" activePane="topRight" state="frozen"/>
      <selection pane="topRight" activeCell="AX51" sqref="AX51"/>
    </sheetView>
  </sheetViews>
  <sheetFormatPr defaultRowHeight="15.75" x14ac:dyDescent="0.25"/>
  <cols>
    <col min="1" max="1" width="55.5703125" style="187" bestFit="1" customWidth="1"/>
    <col min="2" max="8" width="20.85546875" style="116" customWidth="1"/>
    <col min="10" max="16" width="20.85546875" style="116" customWidth="1"/>
    <col min="18" max="24" width="20.85546875" style="116" customWidth="1"/>
    <col min="25" max="25" width="12.7109375" bestFit="1" customWidth="1"/>
    <col min="26" max="32" width="20.85546875" style="116" customWidth="1"/>
    <col min="34" max="40" width="20.85546875" style="116" customWidth="1"/>
    <col min="42" max="48" width="20.85546875" style="116" customWidth="1"/>
    <col min="50" max="56" width="20.85546875" style="116" customWidth="1"/>
    <col min="58" max="64" width="20.85546875" style="116" customWidth="1"/>
    <col min="66" max="72" width="20.85546875" style="116" customWidth="1"/>
  </cols>
  <sheetData>
    <row r="1" spans="1:72" x14ac:dyDescent="0.25">
      <c r="A1" s="181" t="s">
        <v>367</v>
      </c>
      <c r="B1" s="181" t="s">
        <v>59</v>
      </c>
      <c r="J1" s="181" t="s">
        <v>60</v>
      </c>
      <c r="R1" s="181" t="s">
        <v>62</v>
      </c>
      <c r="Z1" s="181" t="s">
        <v>63</v>
      </c>
      <c r="AH1" s="181" t="s">
        <v>316</v>
      </c>
      <c r="AP1" s="181" t="s">
        <v>317</v>
      </c>
      <c r="AX1" s="181" t="s">
        <v>318</v>
      </c>
      <c r="BF1" s="181" t="s">
        <v>322</v>
      </c>
      <c r="BN1" s="181" t="s">
        <v>326</v>
      </c>
    </row>
    <row r="2" spans="1:72" x14ac:dyDescent="0.25">
      <c r="A2" s="182" t="s">
        <v>172</v>
      </c>
      <c r="B2" s="220">
        <v>9630</v>
      </c>
      <c r="J2" s="220">
        <f>B2</f>
        <v>9630</v>
      </c>
      <c r="R2" s="220">
        <f>J2</f>
        <v>9630</v>
      </c>
      <c r="Z2" s="220">
        <f>R2</f>
        <v>9630</v>
      </c>
      <c r="AH2" s="220">
        <f>Z2</f>
        <v>9630</v>
      </c>
      <c r="AP2" s="220">
        <f>AH2</f>
        <v>9630</v>
      </c>
      <c r="AX2" s="220">
        <f>AP2</f>
        <v>9630</v>
      </c>
      <c r="BF2" s="220">
        <f>AX2</f>
        <v>9630</v>
      </c>
      <c r="BN2" s="220">
        <f>BF2</f>
        <v>9630</v>
      </c>
    </row>
    <row r="3" spans="1:72" x14ac:dyDescent="0.25">
      <c r="A3" s="183" t="s">
        <v>75</v>
      </c>
      <c r="B3" s="221">
        <f>B4+B5+B6+B7+B8+B9+B10+B11+B12+B13+B14+B15+B16</f>
        <v>927</v>
      </c>
      <c r="C3" s="222"/>
      <c r="F3" s="181"/>
      <c r="G3" s="181"/>
      <c r="H3" s="181"/>
      <c r="J3" s="221">
        <f>J4+J5+J6+J7+J8+J9+J10+J11+J12+J13+J14+J15+J16</f>
        <v>2514</v>
      </c>
      <c r="K3" s="222"/>
      <c r="N3" s="181"/>
      <c r="O3" s="181"/>
      <c r="P3" s="181"/>
      <c r="R3" s="221">
        <f>R4+R5+R6+R7+R8+R9+R10+R11+R12+R13+R14+R15+R16</f>
        <v>1030</v>
      </c>
      <c r="S3" s="273"/>
      <c r="V3" s="181"/>
      <c r="W3" s="181"/>
      <c r="X3" s="181"/>
      <c r="Z3" s="221">
        <f>Z4+Z5+Z6+Z7+Z8+Z9+Z10+Z11+Z12+Z13+Z14+Z15+Z16</f>
        <v>1198</v>
      </c>
      <c r="AA3" s="273"/>
      <c r="AD3" s="181"/>
      <c r="AE3" s="181"/>
      <c r="AF3" s="181"/>
      <c r="AH3" s="221">
        <f>AH4+AH5+AH6+AH7+AH8+AH9+AH10+AH11+AH12+AH13+AH14+AH15+AH16</f>
        <v>2540</v>
      </c>
      <c r="AI3" s="273"/>
      <c r="AL3" s="181"/>
      <c r="AM3" s="181"/>
      <c r="AN3" s="181"/>
      <c r="AP3" s="221">
        <f>AP4+AP5+AP6+AP7+AP8+AP9+AP10+AP11+AP12+AP13+AP14+AP15+AP16</f>
        <v>814</v>
      </c>
      <c r="AQ3" s="273"/>
      <c r="AT3" s="181"/>
      <c r="AU3" s="181"/>
      <c r="AV3" s="181"/>
      <c r="AX3" s="221">
        <f>AX4+AX5+AX6+AX7+AX8+AX9+AX10+AX11+AX12+AX13+AX14+AX15+AX16</f>
        <v>182</v>
      </c>
      <c r="AY3" s="273"/>
      <c r="BB3" s="181"/>
      <c r="BC3" s="181"/>
      <c r="BD3" s="181"/>
      <c r="BF3" s="221">
        <f>BF4+BF5+BF6+BF7+BF8+BF9+BF10+BF11+BF12+BF13+BF14+BF15+BF16</f>
        <v>0</v>
      </c>
      <c r="BG3" s="222"/>
      <c r="BJ3" s="181"/>
      <c r="BK3" s="181"/>
      <c r="BL3" s="181"/>
      <c r="BN3" s="221">
        <f>BN4+BN5+BN6+BN7+BN8+BN9+BN10+BN11+BN12+BN13+BN14+BN15+BN16</f>
        <v>9205</v>
      </c>
      <c r="BO3" s="222"/>
      <c r="BR3" s="181"/>
      <c r="BS3" s="181"/>
      <c r="BT3" s="181"/>
    </row>
    <row r="4" spans="1:72" x14ac:dyDescent="0.25">
      <c r="A4" s="184" t="s">
        <v>77</v>
      </c>
      <c r="B4" s="223">
        <v>150</v>
      </c>
      <c r="C4" s="222"/>
      <c r="D4" s="187"/>
      <c r="E4" s="224"/>
      <c r="F4" s="225"/>
      <c r="G4" s="225"/>
      <c r="H4" s="225"/>
      <c r="J4" s="223">
        <f>125+5</f>
        <v>130</v>
      </c>
      <c r="K4" s="273">
        <v>5</v>
      </c>
      <c r="L4" s="187"/>
      <c r="M4" s="224"/>
      <c r="N4" s="225"/>
      <c r="O4" s="225"/>
      <c r="P4" s="225"/>
      <c r="R4" s="223">
        <f>100</f>
        <v>100</v>
      </c>
      <c r="S4" s="273">
        <v>4</v>
      </c>
      <c r="T4" s="187"/>
      <c r="U4" s="224"/>
      <c r="V4" s="225"/>
      <c r="W4" s="225"/>
      <c r="X4" s="225"/>
      <c r="Z4" s="223">
        <v>125</v>
      </c>
      <c r="AA4" s="273">
        <v>4</v>
      </c>
      <c r="AB4" s="187"/>
      <c r="AC4" s="224"/>
      <c r="AD4" s="225"/>
      <c r="AE4" s="225"/>
      <c r="AF4" s="225"/>
      <c r="AH4" s="227">
        <v>125</v>
      </c>
      <c r="AI4" s="273">
        <v>5</v>
      </c>
      <c r="AJ4" s="277"/>
      <c r="AK4" s="276"/>
      <c r="AL4" s="225"/>
      <c r="AM4" s="225"/>
      <c r="AN4" s="225"/>
      <c r="AP4" s="223">
        <v>100</v>
      </c>
      <c r="AQ4" s="273">
        <v>4</v>
      </c>
      <c r="AR4" s="187"/>
      <c r="AS4" s="224"/>
      <c r="AT4" s="225"/>
      <c r="AU4" s="225"/>
      <c r="AV4" s="225"/>
      <c r="AX4" s="223">
        <v>0</v>
      </c>
      <c r="AY4" s="273"/>
      <c r="AZ4" s="187"/>
      <c r="BA4" s="224"/>
      <c r="BB4" s="225"/>
      <c r="BC4" s="225"/>
      <c r="BD4" s="225"/>
      <c r="BF4" s="223"/>
      <c r="BG4" s="222"/>
      <c r="BH4" s="187"/>
      <c r="BI4" s="283"/>
      <c r="BJ4" s="225"/>
      <c r="BK4" s="225"/>
      <c r="BL4" s="225"/>
      <c r="BN4" s="223">
        <f>B4+J4+R4+Z4+AH4+AP4+AX4+BF4</f>
        <v>730</v>
      </c>
      <c r="BO4" s="222"/>
      <c r="BP4" s="187"/>
      <c r="BQ4" s="283"/>
      <c r="BR4" s="225"/>
      <c r="BS4" s="225"/>
      <c r="BT4" s="225"/>
    </row>
    <row r="5" spans="1:72" x14ac:dyDescent="0.25">
      <c r="A5" s="183" t="s">
        <v>78</v>
      </c>
      <c r="B5" s="223">
        <v>154</v>
      </c>
      <c r="C5" s="222"/>
      <c r="D5" s="187"/>
      <c r="E5" s="224"/>
      <c r="F5" s="225"/>
      <c r="G5" s="225"/>
      <c r="H5" s="225"/>
      <c r="J5" s="223">
        <f>130+5</f>
        <v>135</v>
      </c>
      <c r="K5" s="273">
        <v>5</v>
      </c>
      <c r="L5" s="187"/>
      <c r="M5" s="224"/>
      <c r="N5" s="225"/>
      <c r="O5" s="225"/>
      <c r="P5" s="225"/>
      <c r="R5" s="223">
        <v>104</v>
      </c>
      <c r="S5" s="273">
        <v>4</v>
      </c>
      <c r="T5" s="187"/>
      <c r="U5" s="224"/>
      <c r="V5" s="225"/>
      <c r="W5" s="225"/>
      <c r="X5" s="225"/>
      <c r="Z5" s="223">
        <v>129</v>
      </c>
      <c r="AA5" s="273">
        <v>4</v>
      </c>
      <c r="AB5" s="187"/>
      <c r="AC5" s="224"/>
      <c r="AD5" s="225"/>
      <c r="AE5" s="225"/>
      <c r="AF5" s="225"/>
      <c r="AH5" s="227">
        <v>125</v>
      </c>
      <c r="AI5" s="273">
        <v>5</v>
      </c>
      <c r="AJ5" s="278"/>
      <c r="AK5" s="276"/>
      <c r="AL5" s="225"/>
      <c r="AM5" s="225"/>
      <c r="AN5" s="225"/>
      <c r="AP5" s="223">
        <v>104</v>
      </c>
      <c r="AQ5" s="273">
        <v>4</v>
      </c>
      <c r="AR5" s="187"/>
      <c r="AS5" s="224"/>
      <c r="AT5" s="225"/>
      <c r="AU5" s="225"/>
      <c r="AV5" s="225"/>
      <c r="AX5" s="223">
        <v>0</v>
      </c>
      <c r="AY5" s="273"/>
      <c r="AZ5" s="187"/>
      <c r="BA5" s="224"/>
      <c r="BB5" s="225"/>
      <c r="BC5" s="225"/>
      <c r="BD5" s="225"/>
      <c r="BF5" s="223"/>
      <c r="BG5" s="222"/>
      <c r="BH5" s="187"/>
      <c r="BI5" s="283"/>
      <c r="BJ5" s="225"/>
      <c r="BK5" s="225"/>
      <c r="BL5" s="225"/>
      <c r="BN5" s="223">
        <f t="shared" ref="BN5:BN16" si="0">B5+J5+R5+Z5+AH5+AP5+AX5+BF5</f>
        <v>751</v>
      </c>
      <c r="BO5" s="222"/>
      <c r="BP5" s="187"/>
      <c r="BQ5" s="283"/>
      <c r="BR5" s="225"/>
      <c r="BS5" s="225"/>
      <c r="BT5" s="225"/>
    </row>
    <row r="6" spans="1:72" x14ac:dyDescent="0.25">
      <c r="A6" s="183" t="s">
        <v>79</v>
      </c>
      <c r="B6" s="223">
        <v>154</v>
      </c>
      <c r="C6" s="222"/>
      <c r="D6" s="187"/>
      <c r="E6" s="224"/>
      <c r="F6" s="225"/>
      <c r="G6" s="225"/>
      <c r="H6" s="225"/>
      <c r="J6" s="223">
        <f>135+10</f>
        <v>145</v>
      </c>
      <c r="K6" s="273">
        <v>5</v>
      </c>
      <c r="L6" s="187"/>
      <c r="M6" s="224"/>
      <c r="N6" s="225"/>
      <c r="O6" s="225"/>
      <c r="P6" s="225"/>
      <c r="R6" s="223">
        <v>108</v>
      </c>
      <c r="S6" s="273">
        <v>4</v>
      </c>
      <c r="T6" s="187"/>
      <c r="U6" s="224"/>
      <c r="V6" s="225"/>
      <c r="W6" s="225"/>
      <c r="X6" s="225"/>
      <c r="Z6" s="223">
        <v>129</v>
      </c>
      <c r="AA6" s="273">
        <v>4</v>
      </c>
      <c r="AB6" s="187"/>
      <c r="AC6" s="224"/>
      <c r="AD6" s="225"/>
      <c r="AE6" s="225"/>
      <c r="AF6" s="225"/>
      <c r="AH6" s="227">
        <v>132</v>
      </c>
      <c r="AI6" s="273">
        <v>5</v>
      </c>
      <c r="AJ6" s="278"/>
      <c r="AK6" s="276"/>
      <c r="AL6" s="225"/>
      <c r="AM6" s="225"/>
      <c r="AN6" s="225"/>
      <c r="AP6" s="223">
        <v>104</v>
      </c>
      <c r="AQ6" s="273">
        <v>4</v>
      </c>
      <c r="AR6" s="187"/>
      <c r="AS6" s="224"/>
      <c r="AT6" s="225"/>
      <c r="AU6" s="225"/>
      <c r="AV6" s="225"/>
      <c r="AX6" s="223">
        <v>0</v>
      </c>
      <c r="AY6" s="273"/>
      <c r="AZ6" s="187"/>
      <c r="BA6" s="224"/>
      <c r="BB6" s="225"/>
      <c r="BC6" s="225"/>
      <c r="BD6" s="225"/>
      <c r="BF6" s="223"/>
      <c r="BG6" s="222"/>
      <c r="BH6" s="187"/>
      <c r="BI6" s="283"/>
      <c r="BJ6" s="225"/>
      <c r="BK6" s="225"/>
      <c r="BL6" s="225"/>
      <c r="BN6" s="223">
        <f t="shared" si="0"/>
        <v>772</v>
      </c>
      <c r="BO6" s="222"/>
      <c r="BP6" s="187"/>
      <c r="BQ6" s="283"/>
      <c r="BR6" s="225"/>
      <c r="BS6" s="225"/>
      <c r="BT6" s="225"/>
    </row>
    <row r="7" spans="1:72" x14ac:dyDescent="0.25">
      <c r="A7" s="185" t="s">
        <v>80</v>
      </c>
      <c r="B7" s="223">
        <v>159</v>
      </c>
      <c r="C7" s="222"/>
      <c r="D7" s="187"/>
      <c r="E7" s="224"/>
      <c r="F7" s="225"/>
      <c r="G7" s="225"/>
      <c r="H7" s="225"/>
      <c r="J7" s="223">
        <f>135+10</f>
        <v>145</v>
      </c>
      <c r="K7" s="273">
        <v>5</v>
      </c>
      <c r="L7" s="187"/>
      <c r="M7" s="224"/>
      <c r="N7" s="225"/>
      <c r="O7" s="225"/>
      <c r="P7" s="225"/>
      <c r="R7" s="223">
        <f>112+4</f>
        <v>116</v>
      </c>
      <c r="S7" s="273">
        <v>4</v>
      </c>
      <c r="T7" s="187"/>
      <c r="U7" s="224"/>
      <c r="V7" s="225"/>
      <c r="W7" s="225"/>
      <c r="X7" s="225"/>
      <c r="Z7" s="223">
        <v>129</v>
      </c>
      <c r="AA7" s="273">
        <v>4</v>
      </c>
      <c r="AB7" s="187"/>
      <c r="AC7" s="224"/>
      <c r="AD7" s="225"/>
      <c r="AE7" s="225"/>
      <c r="AF7" s="225"/>
      <c r="AH7" s="227">
        <v>137</v>
      </c>
      <c r="AI7" s="273">
        <v>5</v>
      </c>
      <c r="AJ7" s="277"/>
      <c r="AK7" s="276"/>
      <c r="AL7" s="225"/>
      <c r="AM7" s="225"/>
      <c r="AN7" s="225"/>
      <c r="AP7" s="223">
        <v>108</v>
      </c>
      <c r="AQ7" s="273">
        <v>4</v>
      </c>
      <c r="AR7" s="187"/>
      <c r="AS7" s="224"/>
      <c r="AT7" s="225"/>
      <c r="AU7" s="225"/>
      <c r="AV7" s="225"/>
      <c r="AX7" s="223">
        <v>0</v>
      </c>
      <c r="AY7" s="273"/>
      <c r="AZ7" s="187"/>
      <c r="BA7" s="224"/>
      <c r="BB7" s="225"/>
      <c r="BC7" s="225"/>
      <c r="BD7" s="225"/>
      <c r="BF7" s="223"/>
      <c r="BG7" s="222"/>
      <c r="BH7" s="187"/>
      <c r="BI7" s="283"/>
      <c r="BJ7" s="225"/>
      <c r="BK7" s="225"/>
      <c r="BL7" s="225"/>
      <c r="BN7" s="223">
        <f t="shared" si="0"/>
        <v>794</v>
      </c>
      <c r="BO7" s="222"/>
      <c r="BP7" s="187"/>
      <c r="BQ7" s="283"/>
      <c r="BR7" s="225"/>
      <c r="BS7" s="225"/>
      <c r="BT7" s="225"/>
    </row>
    <row r="8" spans="1:72" x14ac:dyDescent="0.25">
      <c r="A8" s="185" t="s">
        <v>81</v>
      </c>
      <c r="B8" s="223">
        <f>158</f>
        <v>158</v>
      </c>
      <c r="C8" s="222"/>
      <c r="D8" s="187"/>
      <c r="E8" s="224"/>
      <c r="F8" s="225"/>
      <c r="G8" s="225"/>
      <c r="H8" s="225"/>
      <c r="J8" s="223">
        <f>140+10</f>
        <v>150</v>
      </c>
      <c r="K8" s="273">
        <v>5</v>
      </c>
      <c r="L8" s="187"/>
      <c r="M8" s="224"/>
      <c r="N8" s="225"/>
      <c r="O8" s="225"/>
      <c r="P8" s="225"/>
      <c r="R8" s="223">
        <f>111+4</f>
        <v>115</v>
      </c>
      <c r="S8" s="273">
        <v>4</v>
      </c>
      <c r="T8" s="187"/>
      <c r="U8" s="224"/>
      <c r="V8" s="225"/>
      <c r="W8" s="225"/>
      <c r="X8" s="225"/>
      <c r="Z8" s="223">
        <v>128</v>
      </c>
      <c r="AA8" s="273">
        <v>4</v>
      </c>
      <c r="AB8" s="187"/>
      <c r="AC8" s="224"/>
      <c r="AD8" s="225"/>
      <c r="AE8" s="225"/>
      <c r="AF8" s="225"/>
      <c r="AH8" s="227">
        <f>135+5</f>
        <v>140</v>
      </c>
      <c r="AI8" s="273">
        <v>5</v>
      </c>
      <c r="AJ8" s="277"/>
      <c r="AK8" s="276"/>
      <c r="AL8" s="225"/>
      <c r="AM8" s="225"/>
      <c r="AN8" s="225"/>
      <c r="AP8" s="223">
        <v>108</v>
      </c>
      <c r="AQ8" s="273">
        <v>4</v>
      </c>
      <c r="AR8" s="187"/>
      <c r="AS8" s="224"/>
      <c r="AT8" s="225"/>
      <c r="AU8" s="225"/>
      <c r="AV8" s="225"/>
      <c r="AX8" s="223">
        <v>0</v>
      </c>
      <c r="AY8" s="273"/>
      <c r="AZ8" s="187"/>
      <c r="BA8" s="224"/>
      <c r="BB8" s="225"/>
      <c r="BC8" s="225"/>
      <c r="BD8" s="225"/>
      <c r="BF8" s="223"/>
      <c r="BG8" s="222"/>
      <c r="BH8" s="187"/>
      <c r="BI8" s="283"/>
      <c r="BJ8" s="225"/>
      <c r="BK8" s="225"/>
      <c r="BL8" s="225"/>
      <c r="BN8" s="223">
        <f t="shared" si="0"/>
        <v>799</v>
      </c>
      <c r="BO8" s="222"/>
      <c r="BP8" s="187"/>
      <c r="BQ8" s="283"/>
      <c r="BR8" s="225"/>
      <c r="BS8" s="225"/>
      <c r="BT8" s="225"/>
    </row>
    <row r="9" spans="1:72" x14ac:dyDescent="0.25">
      <c r="A9" s="185" t="s">
        <v>82</v>
      </c>
      <c r="B9" s="223">
        <v>152</v>
      </c>
      <c r="C9" s="226"/>
      <c r="D9" s="187"/>
      <c r="E9" s="224"/>
      <c r="F9" s="225"/>
      <c r="G9" s="225"/>
      <c r="H9" s="225"/>
      <c r="J9" s="223">
        <f>145+10</f>
        <v>155</v>
      </c>
      <c r="K9" s="273">
        <v>5</v>
      </c>
      <c r="L9" s="187"/>
      <c r="M9" s="224"/>
      <c r="N9" s="225"/>
      <c r="O9" s="225"/>
      <c r="P9" s="225"/>
      <c r="R9" s="223">
        <v>120</v>
      </c>
      <c r="S9" s="273">
        <v>4</v>
      </c>
      <c r="T9" s="187"/>
      <c r="U9" s="224"/>
      <c r="V9" s="225"/>
      <c r="W9" s="225"/>
      <c r="X9" s="225"/>
      <c r="Z9" s="223">
        <v>135</v>
      </c>
      <c r="AA9" s="273">
        <v>4</v>
      </c>
      <c r="AB9" s="187"/>
      <c r="AC9" s="224"/>
      <c r="AD9" s="225"/>
      <c r="AE9" s="225"/>
      <c r="AF9" s="225"/>
      <c r="AH9" s="227">
        <f>135+5+2</f>
        <v>142</v>
      </c>
      <c r="AI9" s="273">
        <v>5</v>
      </c>
      <c r="AJ9" s="277"/>
      <c r="AK9" s="276"/>
      <c r="AL9" s="225"/>
      <c r="AM9" s="225"/>
      <c r="AN9" s="225"/>
      <c r="AP9" s="223">
        <v>104</v>
      </c>
      <c r="AQ9" s="273">
        <v>4</v>
      </c>
      <c r="AR9" s="187"/>
      <c r="AS9" s="224"/>
      <c r="AT9" s="225"/>
      <c r="AU9" s="225"/>
      <c r="AV9" s="225"/>
      <c r="AX9" s="223">
        <v>0</v>
      </c>
      <c r="AY9" s="273"/>
      <c r="AZ9" s="187"/>
      <c r="BA9" s="224"/>
      <c r="BB9" s="225"/>
      <c r="BC9" s="225"/>
      <c r="BD9" s="225"/>
      <c r="BF9" s="223"/>
      <c r="BG9" s="222"/>
      <c r="BH9" s="187"/>
      <c r="BI9" s="283"/>
      <c r="BJ9" s="225"/>
      <c r="BK9" s="225"/>
      <c r="BL9" s="225"/>
      <c r="BN9" s="223">
        <f t="shared" si="0"/>
        <v>808</v>
      </c>
      <c r="BO9" s="222"/>
      <c r="BP9" s="187"/>
      <c r="BQ9" s="283"/>
      <c r="BR9" s="225"/>
      <c r="BS9" s="225"/>
      <c r="BT9" s="225"/>
    </row>
    <row r="10" spans="1:72" x14ac:dyDescent="0.25">
      <c r="A10" s="185" t="s">
        <v>83</v>
      </c>
      <c r="B10" s="223">
        <v>0</v>
      </c>
      <c r="C10" s="222"/>
      <c r="D10" s="187"/>
      <c r="E10" s="224"/>
      <c r="F10" s="225"/>
      <c r="G10" s="225"/>
      <c r="H10" s="225"/>
      <c r="J10" s="223">
        <v>300</v>
      </c>
      <c r="K10" s="273">
        <v>10</v>
      </c>
      <c r="L10" s="187"/>
      <c r="M10" s="224"/>
      <c r="N10" s="225"/>
      <c r="O10" s="225"/>
      <c r="P10" s="225"/>
      <c r="R10" s="223">
        <v>123</v>
      </c>
      <c r="S10" s="273">
        <v>4</v>
      </c>
      <c r="T10" s="187"/>
      <c r="U10" s="224"/>
      <c r="V10" s="225"/>
      <c r="W10" s="225"/>
      <c r="X10" s="225"/>
      <c r="Z10" s="223">
        <v>140</v>
      </c>
      <c r="AA10" s="273">
        <v>4</v>
      </c>
      <c r="AB10" s="187"/>
      <c r="AC10" s="224"/>
      <c r="AD10" s="225"/>
      <c r="AE10" s="225"/>
      <c r="AF10" s="225"/>
      <c r="AH10" s="227">
        <v>150</v>
      </c>
      <c r="AI10" s="273">
        <v>5</v>
      </c>
      <c r="AJ10" s="277"/>
      <c r="AK10" s="276"/>
      <c r="AL10" s="225"/>
      <c r="AM10" s="225"/>
      <c r="AN10" s="225"/>
      <c r="AP10" s="223">
        <v>93</v>
      </c>
      <c r="AQ10" s="273">
        <v>3</v>
      </c>
      <c r="AR10" s="187"/>
      <c r="AS10" s="224"/>
      <c r="AT10" s="225"/>
      <c r="AU10" s="225"/>
      <c r="AV10" s="225"/>
      <c r="AX10" s="223">
        <v>36</v>
      </c>
      <c r="AY10" s="273"/>
      <c r="AZ10" s="187"/>
      <c r="BA10" s="224"/>
      <c r="BB10" s="225"/>
      <c r="BC10" s="225"/>
      <c r="BD10" s="225"/>
      <c r="BF10" s="223"/>
      <c r="BG10" s="222"/>
      <c r="BH10" s="187"/>
      <c r="BI10" s="283"/>
      <c r="BJ10" s="225"/>
      <c r="BK10" s="225"/>
      <c r="BL10" s="225"/>
      <c r="BN10" s="223">
        <f t="shared" si="0"/>
        <v>842</v>
      </c>
      <c r="BO10" s="222"/>
      <c r="BP10" s="187"/>
      <c r="BQ10" s="283"/>
      <c r="BR10" s="225"/>
      <c r="BS10" s="225"/>
      <c r="BT10" s="225"/>
    </row>
    <row r="11" spans="1:72" x14ac:dyDescent="0.25">
      <c r="A11" s="185" t="s">
        <v>84</v>
      </c>
      <c r="B11" s="223">
        <v>0</v>
      </c>
      <c r="C11" s="222"/>
      <c r="D11" s="219"/>
      <c r="E11" s="224"/>
      <c r="F11" s="225"/>
      <c r="G11" s="225"/>
      <c r="H11" s="225"/>
      <c r="J11" s="223">
        <v>279</v>
      </c>
      <c r="K11" s="273">
        <v>9</v>
      </c>
      <c r="L11" s="219"/>
      <c r="M11" s="224"/>
      <c r="N11" s="225"/>
      <c r="O11" s="225"/>
      <c r="P11" s="225"/>
      <c r="R11" s="223">
        <v>122</v>
      </c>
      <c r="S11" s="273">
        <v>4</v>
      </c>
      <c r="T11" s="219"/>
      <c r="U11" s="224"/>
      <c r="V11" s="225"/>
      <c r="W11" s="225"/>
      <c r="X11" s="225"/>
      <c r="Z11" s="223">
        <v>143</v>
      </c>
      <c r="AA11" s="273">
        <v>4</v>
      </c>
      <c r="AB11" s="219"/>
      <c r="AC11" s="224"/>
      <c r="AD11" s="225"/>
      <c r="AE11" s="225"/>
      <c r="AF11" s="225"/>
      <c r="AH11" s="227">
        <v>150</v>
      </c>
      <c r="AI11" s="273">
        <v>5</v>
      </c>
      <c r="AJ11" s="277"/>
      <c r="AK11" s="276"/>
      <c r="AL11" s="225"/>
      <c r="AM11" s="225"/>
      <c r="AN11" s="225"/>
      <c r="AP11" s="223">
        <v>93</v>
      </c>
      <c r="AQ11" s="273">
        <v>3</v>
      </c>
      <c r="AR11" s="219"/>
      <c r="AS11" s="224"/>
      <c r="AT11" s="225"/>
      <c r="AU11" s="225"/>
      <c r="AV11" s="225"/>
      <c r="AX11" s="223">
        <v>36</v>
      </c>
      <c r="AY11" s="273"/>
      <c r="AZ11" s="219"/>
      <c r="BA11" s="224"/>
      <c r="BB11" s="225"/>
      <c r="BC11" s="225"/>
      <c r="BD11" s="225"/>
      <c r="BF11" s="223"/>
      <c r="BG11" s="222"/>
      <c r="BH11" s="219"/>
      <c r="BI11" s="283"/>
      <c r="BJ11" s="225"/>
      <c r="BK11" s="225"/>
      <c r="BL11" s="225"/>
      <c r="BN11" s="223">
        <f t="shared" si="0"/>
        <v>823</v>
      </c>
      <c r="BO11" s="222"/>
      <c r="BP11" s="219"/>
      <c r="BQ11" s="283"/>
      <c r="BR11" s="225"/>
      <c r="BS11" s="225"/>
      <c r="BT11" s="225"/>
    </row>
    <row r="12" spans="1:72" x14ac:dyDescent="0.25">
      <c r="A12" s="185" t="s">
        <v>85</v>
      </c>
      <c r="B12" s="223">
        <v>0</v>
      </c>
      <c r="C12" s="222"/>
      <c r="D12" s="187"/>
      <c r="E12" s="224"/>
      <c r="F12" s="225"/>
      <c r="G12" s="225"/>
      <c r="H12" s="225"/>
      <c r="J12" s="223">
        <v>279</v>
      </c>
      <c r="K12" s="273">
        <v>9</v>
      </c>
      <c r="L12" s="187"/>
      <c r="M12" s="224"/>
      <c r="N12" s="225"/>
      <c r="O12" s="225"/>
      <c r="P12" s="225"/>
      <c r="R12" s="223">
        <v>122</v>
      </c>
      <c r="S12" s="273">
        <v>4</v>
      </c>
      <c r="T12" s="187"/>
      <c r="U12" s="224"/>
      <c r="V12" s="225"/>
      <c r="W12" s="225"/>
      <c r="X12" s="225"/>
      <c r="Z12" s="223">
        <v>140</v>
      </c>
      <c r="AA12" s="273">
        <v>4</v>
      </c>
      <c r="AB12" s="187"/>
      <c r="AC12" s="224"/>
      <c r="AD12" s="225"/>
      <c r="AE12" s="225"/>
      <c r="AF12" s="225"/>
      <c r="AH12" s="227">
        <v>206</v>
      </c>
      <c r="AI12" s="273">
        <v>7</v>
      </c>
      <c r="AJ12" s="277"/>
      <c r="AK12" s="276"/>
      <c r="AL12" s="225"/>
      <c r="AM12" s="225"/>
      <c r="AN12" s="225"/>
      <c r="AP12" s="223">
        <v>0</v>
      </c>
      <c r="AQ12" s="273"/>
      <c r="AR12" s="187"/>
      <c r="AS12" s="224"/>
      <c r="AT12" s="225"/>
      <c r="AU12" s="225"/>
      <c r="AV12" s="225"/>
      <c r="AX12" s="223">
        <v>36</v>
      </c>
      <c r="AY12" s="273"/>
      <c r="AZ12" s="187"/>
      <c r="BA12" s="224"/>
      <c r="BB12" s="225"/>
      <c r="BC12" s="225"/>
      <c r="BD12" s="225"/>
      <c r="BF12" s="223"/>
      <c r="BG12" s="222"/>
      <c r="BH12" s="187"/>
      <c r="BI12" s="283"/>
      <c r="BJ12" s="225"/>
      <c r="BK12" s="225"/>
      <c r="BL12" s="225"/>
      <c r="BN12" s="223">
        <f t="shared" si="0"/>
        <v>783</v>
      </c>
      <c r="BO12" s="222"/>
      <c r="BP12" s="187"/>
      <c r="BQ12" s="283"/>
      <c r="BR12" s="225"/>
      <c r="BS12" s="225"/>
      <c r="BT12" s="225"/>
    </row>
    <row r="13" spans="1:72" x14ac:dyDescent="0.25">
      <c r="A13" s="185" t="s">
        <v>86</v>
      </c>
      <c r="B13" s="227">
        <v>0</v>
      </c>
      <c r="C13" s="222"/>
      <c r="D13" s="219"/>
      <c r="E13" s="224"/>
      <c r="F13" s="225"/>
      <c r="G13" s="225"/>
      <c r="H13" s="225"/>
      <c r="J13" s="227">
        <v>217</v>
      </c>
      <c r="K13" s="273">
        <v>7</v>
      </c>
      <c r="L13" s="219"/>
      <c r="M13" s="224"/>
      <c r="N13" s="225"/>
      <c r="O13" s="225"/>
      <c r="P13" s="225"/>
      <c r="R13" s="227">
        <v>0</v>
      </c>
      <c r="S13" s="273"/>
      <c r="T13" s="219"/>
      <c r="U13" s="224"/>
      <c r="V13" s="225"/>
      <c r="W13" s="225"/>
      <c r="X13" s="225"/>
      <c r="Z13" s="227">
        <v>0</v>
      </c>
      <c r="AA13" s="273"/>
      <c r="AB13" s="219"/>
      <c r="AC13" s="224"/>
      <c r="AD13" s="225"/>
      <c r="AE13" s="225"/>
      <c r="AF13" s="225"/>
      <c r="AH13" s="227">
        <v>329</v>
      </c>
      <c r="AI13" s="273">
        <v>10</v>
      </c>
      <c r="AJ13" s="277"/>
      <c r="AK13" s="276"/>
      <c r="AL13" s="225"/>
      <c r="AM13" s="225"/>
      <c r="AN13" s="225"/>
      <c r="AP13" s="227">
        <v>0</v>
      </c>
      <c r="AQ13" s="273"/>
      <c r="AR13" s="219"/>
      <c r="AS13" s="224"/>
      <c r="AT13" s="225"/>
      <c r="AU13" s="225"/>
      <c r="AV13" s="225"/>
      <c r="AX13" s="227">
        <v>25</v>
      </c>
      <c r="AY13" s="273"/>
      <c r="AZ13" s="219"/>
      <c r="BA13" s="224"/>
      <c r="BB13" s="225"/>
      <c r="BC13" s="225"/>
      <c r="BD13" s="225"/>
      <c r="BF13" s="227"/>
      <c r="BG13" s="222"/>
      <c r="BH13" s="219"/>
      <c r="BI13" s="283"/>
      <c r="BJ13" s="225"/>
      <c r="BK13" s="225"/>
      <c r="BL13" s="225"/>
      <c r="BN13" s="223">
        <f t="shared" si="0"/>
        <v>571</v>
      </c>
      <c r="BO13" s="222"/>
      <c r="BP13" s="219"/>
      <c r="BQ13" s="283"/>
      <c r="BR13" s="225"/>
      <c r="BS13" s="225"/>
      <c r="BT13" s="225"/>
    </row>
    <row r="14" spans="1:72" x14ac:dyDescent="0.25">
      <c r="A14" s="185" t="s">
        <v>87</v>
      </c>
      <c r="B14" s="227">
        <v>0</v>
      </c>
      <c r="C14" s="222"/>
      <c r="J14" s="227">
        <v>217</v>
      </c>
      <c r="K14" s="273">
        <v>7</v>
      </c>
      <c r="R14" s="227">
        <v>0</v>
      </c>
      <c r="S14" s="273"/>
      <c r="Z14" s="227">
        <v>0</v>
      </c>
      <c r="AA14" s="273"/>
      <c r="AH14" s="227">
        <v>319</v>
      </c>
      <c r="AI14" s="273">
        <v>10</v>
      </c>
      <c r="AJ14" s="277"/>
      <c r="AP14" s="227">
        <v>0</v>
      </c>
      <c r="AQ14" s="273"/>
      <c r="AX14" s="227">
        <v>24</v>
      </c>
      <c r="AY14" s="273"/>
      <c r="BF14" s="227">
        <v>0</v>
      </c>
      <c r="BG14" s="222"/>
      <c r="BN14" s="223">
        <f t="shared" si="0"/>
        <v>560</v>
      </c>
      <c r="BO14" s="222"/>
    </row>
    <row r="15" spans="1:72" x14ac:dyDescent="0.25">
      <c r="A15" s="185" t="s">
        <v>88</v>
      </c>
      <c r="B15" s="227">
        <v>0</v>
      </c>
      <c r="C15" s="222"/>
      <c r="D15" s="222"/>
      <c r="E15" s="222"/>
      <c r="F15" s="222"/>
      <c r="J15" s="227">
        <v>188</v>
      </c>
      <c r="K15" s="273">
        <v>7</v>
      </c>
      <c r="L15" s="222"/>
      <c r="M15" s="222"/>
      <c r="N15" s="222"/>
      <c r="R15" s="227">
        <v>0</v>
      </c>
      <c r="S15" s="273"/>
      <c r="T15" s="222"/>
      <c r="U15" s="222"/>
      <c r="V15" s="222"/>
      <c r="Z15" s="227">
        <v>0</v>
      </c>
      <c r="AA15" s="273"/>
      <c r="AB15" s="222"/>
      <c r="AC15" s="222"/>
      <c r="AD15" s="222"/>
      <c r="AH15" s="227">
        <v>300</v>
      </c>
      <c r="AI15" s="273">
        <v>10</v>
      </c>
      <c r="AJ15" s="277"/>
      <c r="AK15" s="222"/>
      <c r="AL15" s="222"/>
      <c r="AP15" s="227">
        <v>0</v>
      </c>
      <c r="AQ15" s="273"/>
      <c r="AR15" s="222"/>
      <c r="AS15" s="222"/>
      <c r="AT15" s="222"/>
      <c r="AX15" s="227">
        <v>15</v>
      </c>
      <c r="AY15" s="273"/>
      <c r="AZ15" s="222"/>
      <c r="BA15" s="222"/>
      <c r="BB15" s="222"/>
      <c r="BF15" s="227">
        <v>0</v>
      </c>
      <c r="BG15" s="222"/>
      <c r="BH15" s="222"/>
      <c r="BI15" s="222"/>
      <c r="BJ15" s="222"/>
      <c r="BN15" s="223">
        <f t="shared" si="0"/>
        <v>503</v>
      </c>
      <c r="BO15" s="222"/>
      <c r="BP15" s="222"/>
      <c r="BQ15" s="222"/>
      <c r="BR15" s="222"/>
    </row>
    <row r="16" spans="1:72" x14ac:dyDescent="0.25">
      <c r="A16" s="185" t="s">
        <v>89</v>
      </c>
      <c r="B16" s="227">
        <v>0</v>
      </c>
      <c r="C16" s="222"/>
      <c r="D16" s="222"/>
      <c r="E16" s="222"/>
      <c r="F16" s="222"/>
      <c r="J16" s="227">
        <v>174</v>
      </c>
      <c r="K16" s="273">
        <v>6</v>
      </c>
      <c r="L16" s="222"/>
      <c r="M16" s="222"/>
      <c r="N16" s="222"/>
      <c r="R16" s="227">
        <v>0</v>
      </c>
      <c r="S16" s="273"/>
      <c r="T16" s="222"/>
      <c r="U16" s="222"/>
      <c r="V16" s="222"/>
      <c r="Z16" s="227">
        <v>0</v>
      </c>
      <c r="AA16" s="273"/>
      <c r="AB16" s="222"/>
      <c r="AC16" s="222"/>
      <c r="AD16" s="222"/>
      <c r="AH16" s="227">
        <v>285</v>
      </c>
      <c r="AI16" s="273">
        <v>10</v>
      </c>
      <c r="AJ16" s="277"/>
      <c r="AK16" s="222"/>
      <c r="AL16" s="222"/>
      <c r="AP16" s="227">
        <v>0</v>
      </c>
      <c r="AQ16" s="273"/>
      <c r="AR16" s="222"/>
      <c r="AS16" s="222"/>
      <c r="AT16" s="222"/>
      <c r="AX16" s="227">
        <v>10</v>
      </c>
      <c r="AY16" s="273"/>
      <c r="AZ16" s="222"/>
      <c r="BA16" s="222"/>
      <c r="BB16" s="222"/>
      <c r="BF16" s="227">
        <v>0</v>
      </c>
      <c r="BG16" s="222"/>
      <c r="BH16" s="222"/>
      <c r="BI16" s="222"/>
      <c r="BJ16" s="222"/>
      <c r="BN16" s="223">
        <f t="shared" si="0"/>
        <v>469</v>
      </c>
      <c r="BO16" s="222"/>
      <c r="BP16" s="222"/>
      <c r="BQ16" s="222"/>
      <c r="BR16" s="222"/>
    </row>
    <row r="17" spans="1:72" x14ac:dyDescent="0.25">
      <c r="A17" s="186" t="s">
        <v>75</v>
      </c>
      <c r="B17" s="221">
        <f>SUM(B4:B16)</f>
        <v>927</v>
      </c>
      <c r="C17" s="226">
        <f>B17*0.025</f>
        <v>23.175000000000001</v>
      </c>
      <c r="D17" s="222"/>
      <c r="E17" s="222"/>
      <c r="F17" s="222"/>
      <c r="J17" s="221">
        <f>SUM(J4:J16)</f>
        <v>2514</v>
      </c>
      <c r="K17" s="273">
        <f>SUM(K4:K16)</f>
        <v>85</v>
      </c>
      <c r="L17" s="226">
        <f>J17*0.025</f>
        <v>62.85</v>
      </c>
      <c r="M17" s="222"/>
      <c r="N17" s="222"/>
      <c r="R17" s="221">
        <f>SUM(R4:R16)</f>
        <v>1030</v>
      </c>
      <c r="S17" s="273">
        <f>SUM(S4:S16)</f>
        <v>36</v>
      </c>
      <c r="T17" s="222"/>
      <c r="U17" s="222"/>
      <c r="V17" s="222"/>
      <c r="Z17" s="221">
        <f>SUM(Z4:Z16)</f>
        <v>1198</v>
      </c>
      <c r="AA17" s="273">
        <f>SUM(AA4:AA16)</f>
        <v>36</v>
      </c>
      <c r="AB17" s="222"/>
      <c r="AC17" s="222"/>
      <c r="AD17" s="222"/>
      <c r="AH17" s="221">
        <f>SUM(AH4:AH16)</f>
        <v>2540</v>
      </c>
      <c r="AI17" s="273">
        <f>SUM(AI4:AI16)</f>
        <v>87</v>
      </c>
      <c r="AJ17" s="222"/>
      <c r="AK17" s="222"/>
      <c r="AL17" s="222"/>
      <c r="AP17" s="221">
        <f>SUM(AP4:AP16)</f>
        <v>814</v>
      </c>
      <c r="AQ17" s="273">
        <f>SUM(AQ4:AQ16)</f>
        <v>30</v>
      </c>
      <c r="AR17" s="222"/>
      <c r="AS17" s="222"/>
      <c r="AT17" s="222"/>
      <c r="AX17" s="221">
        <f>SUM(AX4:AX16)</f>
        <v>182</v>
      </c>
      <c r="AY17" s="273">
        <f>SUM(AY4:AY16)</f>
        <v>0</v>
      </c>
      <c r="AZ17" s="222"/>
      <c r="BA17" s="222"/>
      <c r="BB17" s="222"/>
      <c r="BF17" s="221">
        <f>SUM(BF4:BF16)</f>
        <v>0</v>
      </c>
      <c r="BG17" s="222"/>
      <c r="BH17" s="222"/>
      <c r="BI17" s="222"/>
      <c r="BJ17" s="222"/>
      <c r="BN17" s="221">
        <f>SUM(BN4:BN16)</f>
        <v>9205</v>
      </c>
      <c r="BO17" s="222"/>
      <c r="BP17" s="222"/>
      <c r="BQ17" s="222"/>
      <c r="BR17" s="222"/>
    </row>
    <row r="20" spans="1:72" x14ac:dyDescent="0.25">
      <c r="A20" s="188" t="s">
        <v>173</v>
      </c>
      <c r="B20" s="228" t="s">
        <v>309</v>
      </c>
      <c r="C20" s="228" t="s">
        <v>310</v>
      </c>
      <c r="D20" s="228" t="s">
        <v>311</v>
      </c>
      <c r="E20" s="228" t="s">
        <v>312</v>
      </c>
      <c r="F20" s="228" t="s">
        <v>313</v>
      </c>
      <c r="G20" s="228" t="s">
        <v>314</v>
      </c>
      <c r="H20" s="228" t="s">
        <v>59</v>
      </c>
      <c r="J20" s="228" t="s">
        <v>309</v>
      </c>
      <c r="K20" s="228" t="s">
        <v>310</v>
      </c>
      <c r="L20" s="228" t="s">
        <v>311</v>
      </c>
      <c r="M20" s="228" t="s">
        <v>312</v>
      </c>
      <c r="N20" s="228" t="s">
        <v>313</v>
      </c>
      <c r="O20" s="228" t="s">
        <v>314</v>
      </c>
      <c r="P20" s="228" t="s">
        <v>60</v>
      </c>
      <c r="R20" s="228" t="s">
        <v>309</v>
      </c>
      <c r="S20" s="228" t="s">
        <v>310</v>
      </c>
      <c r="T20" s="228" t="s">
        <v>311</v>
      </c>
      <c r="U20" s="228" t="s">
        <v>312</v>
      </c>
      <c r="V20" s="228" t="s">
        <v>313</v>
      </c>
      <c r="W20" s="228" t="s">
        <v>314</v>
      </c>
      <c r="X20" s="228" t="s">
        <v>62</v>
      </c>
      <c r="Z20" s="228" t="s">
        <v>309</v>
      </c>
      <c r="AA20" s="228" t="s">
        <v>310</v>
      </c>
      <c r="AB20" s="228" t="s">
        <v>311</v>
      </c>
      <c r="AC20" s="228" t="s">
        <v>312</v>
      </c>
      <c r="AD20" s="228" t="s">
        <v>313</v>
      </c>
      <c r="AE20" s="228" t="s">
        <v>314</v>
      </c>
      <c r="AF20" s="228" t="s">
        <v>63</v>
      </c>
      <c r="AH20" s="228" t="s">
        <v>309</v>
      </c>
      <c r="AI20" s="228" t="s">
        <v>310</v>
      </c>
      <c r="AJ20" s="228" t="s">
        <v>311</v>
      </c>
      <c r="AK20" s="228" t="s">
        <v>312</v>
      </c>
      <c r="AL20" s="228" t="s">
        <v>313</v>
      </c>
      <c r="AM20" s="228" t="s">
        <v>314</v>
      </c>
      <c r="AN20" s="228" t="s">
        <v>316</v>
      </c>
      <c r="AP20" s="228" t="s">
        <v>309</v>
      </c>
      <c r="AQ20" s="228" t="s">
        <v>310</v>
      </c>
      <c r="AR20" s="228" t="s">
        <v>311</v>
      </c>
      <c r="AS20" s="228" t="s">
        <v>312</v>
      </c>
      <c r="AT20" s="228" t="s">
        <v>313</v>
      </c>
      <c r="AU20" s="228" t="s">
        <v>314</v>
      </c>
      <c r="AV20" s="228" t="s">
        <v>317</v>
      </c>
      <c r="AX20" s="228" t="s">
        <v>309</v>
      </c>
      <c r="AY20" s="228" t="s">
        <v>310</v>
      </c>
      <c r="AZ20" s="228" t="s">
        <v>311</v>
      </c>
      <c r="BA20" s="228" t="s">
        <v>312</v>
      </c>
      <c r="BB20" s="228" t="s">
        <v>313</v>
      </c>
      <c r="BC20" s="228" t="s">
        <v>314</v>
      </c>
      <c r="BD20" s="228" t="s">
        <v>318</v>
      </c>
      <c r="BF20" s="228" t="s">
        <v>309</v>
      </c>
      <c r="BG20" s="228" t="s">
        <v>310</v>
      </c>
      <c r="BH20" s="228" t="s">
        <v>311</v>
      </c>
      <c r="BI20" s="228" t="s">
        <v>312</v>
      </c>
      <c r="BJ20" s="228" t="s">
        <v>313</v>
      </c>
      <c r="BK20" s="228" t="s">
        <v>314</v>
      </c>
      <c r="BL20" s="228" t="str">
        <f>BF1</f>
        <v>Central</v>
      </c>
      <c r="BN20" s="228" t="s">
        <v>309</v>
      </c>
      <c r="BO20" s="228" t="s">
        <v>310</v>
      </c>
      <c r="BP20" s="228" t="s">
        <v>311</v>
      </c>
      <c r="BQ20" s="228" t="s">
        <v>312</v>
      </c>
      <c r="BR20" s="228" t="s">
        <v>313</v>
      </c>
      <c r="BS20" s="228" t="s">
        <v>314</v>
      </c>
      <c r="BT20" s="228" t="str">
        <f>BN1</f>
        <v>System</v>
      </c>
    </row>
    <row r="21" spans="1:72" x14ac:dyDescent="0.25">
      <c r="A21" s="185" t="s">
        <v>174</v>
      </c>
      <c r="B21" s="227"/>
      <c r="C21" s="227">
        <v>112</v>
      </c>
      <c r="D21" s="227"/>
      <c r="E21" s="227"/>
      <c r="F21" s="227"/>
      <c r="G21" s="227"/>
      <c r="H21" s="227">
        <f>SUM(B21:G21)</f>
        <v>112</v>
      </c>
      <c r="J21" s="227"/>
      <c r="K21" s="227">
        <v>285</v>
      </c>
      <c r="L21" s="227"/>
      <c r="M21" s="227"/>
      <c r="N21" s="227"/>
      <c r="O21" s="227"/>
      <c r="P21" s="227">
        <f>SUM(J21:O21)</f>
        <v>285</v>
      </c>
      <c r="R21" s="227"/>
      <c r="S21" s="227">
        <v>80</v>
      </c>
      <c r="T21" s="227"/>
      <c r="U21" s="227"/>
      <c r="V21" s="227"/>
      <c r="W21" s="227"/>
      <c r="X21" s="227">
        <f>SUM(R21:W21)</f>
        <v>80</v>
      </c>
      <c r="Z21" s="227"/>
      <c r="AA21" s="227">
        <v>100</v>
      </c>
      <c r="AB21" s="227"/>
      <c r="AC21" s="227"/>
      <c r="AD21" s="227"/>
      <c r="AE21" s="227"/>
      <c r="AF21" s="227">
        <f>SUM(Z21:AE21)</f>
        <v>100</v>
      </c>
      <c r="AH21" s="227"/>
      <c r="AI21" s="227">
        <v>215</v>
      </c>
      <c r="AJ21" s="227"/>
      <c r="AK21" s="227"/>
      <c r="AL21" s="227"/>
      <c r="AM21" s="227"/>
      <c r="AN21" s="227">
        <f>SUM(AH21:AM21)</f>
        <v>215</v>
      </c>
      <c r="AP21" s="227"/>
      <c r="AQ21" s="227">
        <v>84</v>
      </c>
      <c r="AR21" s="227"/>
      <c r="AS21" s="227"/>
      <c r="AT21" s="227"/>
      <c r="AU21" s="227"/>
      <c r="AV21" s="227">
        <f>SUM(AP21:AU21)</f>
        <v>84</v>
      </c>
      <c r="AX21" s="227"/>
      <c r="AY21" s="227">
        <v>21</v>
      </c>
      <c r="AZ21" s="227"/>
      <c r="BA21" s="227"/>
      <c r="BB21" s="227"/>
      <c r="BC21" s="227"/>
      <c r="BD21" s="227">
        <f>SUM(AX21:BC21)</f>
        <v>21</v>
      </c>
      <c r="BF21" s="229"/>
      <c r="BG21" s="229"/>
      <c r="BH21" s="229"/>
      <c r="BI21" s="227"/>
      <c r="BJ21" s="227"/>
      <c r="BK21" s="227"/>
      <c r="BL21" s="227">
        <f>SUM(BF21:BK21)</f>
        <v>0</v>
      </c>
      <c r="BN21" s="229">
        <f>B21+J21+R21+Z21+AH21+AP21+AX21+BF21</f>
        <v>0</v>
      </c>
      <c r="BO21" s="229">
        <f t="shared" ref="BO21:BS25" si="1">C21+K21+S21+AA21+AI21+AQ21+AY21+BG21</f>
        <v>897</v>
      </c>
      <c r="BP21" s="229">
        <f t="shared" si="1"/>
        <v>0</v>
      </c>
      <c r="BQ21" s="229">
        <f t="shared" si="1"/>
        <v>0</v>
      </c>
      <c r="BR21" s="229">
        <f t="shared" si="1"/>
        <v>0</v>
      </c>
      <c r="BS21" s="229">
        <f t="shared" si="1"/>
        <v>0</v>
      </c>
      <c r="BT21" s="227">
        <f>SUM(BN21:BS21)</f>
        <v>897</v>
      </c>
    </row>
    <row r="22" spans="1:72" x14ac:dyDescent="0.25">
      <c r="A22" s="185" t="s">
        <v>175</v>
      </c>
      <c r="B22" s="227">
        <v>35</v>
      </c>
      <c r="C22" s="227"/>
      <c r="D22" s="227"/>
      <c r="E22" s="227"/>
      <c r="F22" s="227"/>
      <c r="G22" s="227"/>
      <c r="H22" s="227">
        <f>SUM(B22:G22)</f>
        <v>35</v>
      </c>
      <c r="J22" s="227">
        <v>50</v>
      </c>
      <c r="K22" s="227"/>
      <c r="L22" s="227"/>
      <c r="M22" s="227"/>
      <c r="N22" s="227"/>
      <c r="O22" s="227"/>
      <c r="P22" s="227">
        <f>SUM(J22:O22)</f>
        <v>50</v>
      </c>
      <c r="R22" s="227">
        <v>22</v>
      </c>
      <c r="S22" s="227"/>
      <c r="T22" s="227"/>
      <c r="U22" s="227"/>
      <c r="V22" s="227"/>
      <c r="W22" s="227"/>
      <c r="X22" s="227">
        <f>SUM(R22:W22)</f>
        <v>22</v>
      </c>
      <c r="Z22" s="227">
        <v>42</v>
      </c>
      <c r="AA22" s="227"/>
      <c r="AB22" s="227"/>
      <c r="AC22" s="227"/>
      <c r="AD22" s="227"/>
      <c r="AE22" s="227"/>
      <c r="AF22" s="227">
        <f>SUM(Z22:AE22)</f>
        <v>42</v>
      </c>
      <c r="AH22" s="227">
        <v>45</v>
      </c>
      <c r="AI22" s="227"/>
      <c r="AJ22" s="227"/>
      <c r="AK22" s="227"/>
      <c r="AL22" s="227"/>
      <c r="AM22" s="227"/>
      <c r="AN22" s="227">
        <f>SUM(AH22:AM22)</f>
        <v>45</v>
      </c>
      <c r="AP22" s="227">
        <v>45</v>
      </c>
      <c r="AQ22" s="227"/>
      <c r="AR22" s="227"/>
      <c r="AS22" s="227"/>
      <c r="AT22" s="227"/>
      <c r="AU22" s="227"/>
      <c r="AV22" s="227">
        <f>SUM(AP22:AU22)</f>
        <v>45</v>
      </c>
      <c r="AX22" s="227">
        <v>2</v>
      </c>
      <c r="AY22" s="227"/>
      <c r="AZ22" s="227"/>
      <c r="BA22" s="227"/>
      <c r="BB22" s="227"/>
      <c r="BC22" s="227"/>
      <c r="BD22" s="227">
        <f>SUM(AX22:BC22)</f>
        <v>2</v>
      </c>
      <c r="BF22" s="229"/>
      <c r="BG22" s="229"/>
      <c r="BH22" s="229"/>
      <c r="BI22" s="227"/>
      <c r="BJ22" s="227"/>
      <c r="BK22" s="227"/>
      <c r="BL22" s="227">
        <f>SUM(BF22:BK22)</f>
        <v>0</v>
      </c>
      <c r="BN22" s="229">
        <f t="shared" ref="BN22:BN25" si="2">B22+J22+R22+Z22+AH22+AP22+AX22+BF22</f>
        <v>241</v>
      </c>
      <c r="BO22" s="229">
        <f t="shared" si="1"/>
        <v>0</v>
      </c>
      <c r="BP22" s="229">
        <f t="shared" si="1"/>
        <v>0</v>
      </c>
      <c r="BQ22" s="229">
        <f t="shared" si="1"/>
        <v>0</v>
      </c>
      <c r="BR22" s="229">
        <f t="shared" si="1"/>
        <v>0</v>
      </c>
      <c r="BS22" s="229">
        <f t="shared" si="1"/>
        <v>0</v>
      </c>
      <c r="BT22" s="227">
        <f>SUM(BN22:BS22)</f>
        <v>241</v>
      </c>
    </row>
    <row r="23" spans="1:72" x14ac:dyDescent="0.25">
      <c r="A23" s="185" t="s">
        <v>176</v>
      </c>
      <c r="B23" s="229">
        <v>33</v>
      </c>
      <c r="C23" s="229"/>
      <c r="D23" s="229"/>
      <c r="E23" s="229"/>
      <c r="F23" s="229"/>
      <c r="G23" s="229"/>
      <c r="H23" s="227">
        <f>SUM(B23:G23)</f>
        <v>33</v>
      </c>
      <c r="J23" s="229">
        <v>40</v>
      </c>
      <c r="K23" s="229"/>
      <c r="L23" s="229"/>
      <c r="M23" s="229"/>
      <c r="N23" s="229"/>
      <c r="O23" s="229"/>
      <c r="P23" s="227">
        <f>SUM(J23:O23)</f>
        <v>40</v>
      </c>
      <c r="R23" s="229">
        <v>67</v>
      </c>
      <c r="S23" s="229"/>
      <c r="T23" s="229"/>
      <c r="U23" s="229"/>
      <c r="V23" s="229"/>
      <c r="W23" s="229"/>
      <c r="X23" s="227">
        <f>SUM(R23:W23)</f>
        <v>67</v>
      </c>
      <c r="Z23" s="229">
        <v>56</v>
      </c>
      <c r="AA23" s="229"/>
      <c r="AB23" s="229"/>
      <c r="AC23" s="229"/>
      <c r="AD23" s="229"/>
      <c r="AE23" s="229"/>
      <c r="AF23" s="227">
        <f>SUM(Z23:AE23)</f>
        <v>56</v>
      </c>
      <c r="AH23" s="229">
        <v>89</v>
      </c>
      <c r="AI23" s="229"/>
      <c r="AJ23" s="229"/>
      <c r="AK23" s="229"/>
      <c r="AL23" s="229"/>
      <c r="AM23" s="229"/>
      <c r="AN23" s="227">
        <f>SUM(AH23:AM23)</f>
        <v>89</v>
      </c>
      <c r="AP23" s="229">
        <v>0</v>
      </c>
      <c r="AQ23" s="229"/>
      <c r="AR23" s="229"/>
      <c r="AS23" s="229"/>
      <c r="AT23" s="229"/>
      <c r="AU23" s="229"/>
      <c r="AV23" s="227">
        <f>SUM(AP23:AU23)</f>
        <v>0</v>
      </c>
      <c r="AX23" s="229">
        <v>0</v>
      </c>
      <c r="AY23" s="229"/>
      <c r="AZ23" s="229"/>
      <c r="BA23" s="229"/>
      <c r="BB23" s="229"/>
      <c r="BC23" s="229"/>
      <c r="BD23" s="227">
        <f>SUM(AX23:BC23)</f>
        <v>0</v>
      </c>
      <c r="BF23" s="229"/>
      <c r="BG23" s="229"/>
      <c r="BH23" s="229"/>
      <c r="BI23" s="229"/>
      <c r="BJ23" s="229"/>
      <c r="BK23" s="229"/>
      <c r="BL23" s="227">
        <f>SUM(BF23:BK23)</f>
        <v>0</v>
      </c>
      <c r="BN23" s="229">
        <f t="shared" si="2"/>
        <v>285</v>
      </c>
      <c r="BO23" s="229">
        <f t="shared" si="1"/>
        <v>0</v>
      </c>
      <c r="BP23" s="229">
        <f t="shared" si="1"/>
        <v>0</v>
      </c>
      <c r="BQ23" s="229">
        <f t="shared" si="1"/>
        <v>0</v>
      </c>
      <c r="BR23" s="229">
        <f t="shared" si="1"/>
        <v>0</v>
      </c>
      <c r="BS23" s="229">
        <f t="shared" si="1"/>
        <v>0</v>
      </c>
      <c r="BT23" s="227">
        <f>SUM(BN23:BS23)</f>
        <v>285</v>
      </c>
    </row>
    <row r="24" spans="1:72" x14ac:dyDescent="0.25">
      <c r="A24" s="185" t="s">
        <v>177</v>
      </c>
      <c r="B24" s="229">
        <v>20</v>
      </c>
      <c r="C24" s="229"/>
      <c r="D24" s="229"/>
      <c r="E24" s="229"/>
      <c r="F24" s="229"/>
      <c r="G24" s="229"/>
      <c r="H24" s="227">
        <f>SUM(B24:G24)</f>
        <v>20</v>
      </c>
      <c r="J24" s="229">
        <f>55+60</f>
        <v>115</v>
      </c>
      <c r="K24" s="229"/>
      <c r="L24" s="229"/>
      <c r="M24" s="229"/>
      <c r="N24" s="229"/>
      <c r="O24" s="229"/>
      <c r="P24" s="227">
        <f>SUM(J24:O24)</f>
        <v>115</v>
      </c>
      <c r="R24" s="229">
        <v>8</v>
      </c>
      <c r="S24" s="229"/>
      <c r="T24" s="229"/>
      <c r="U24" s="229"/>
      <c r="V24" s="229"/>
      <c r="W24" s="229"/>
      <c r="X24" s="227">
        <f>SUM(R24:W24)</f>
        <v>8</v>
      </c>
      <c r="Z24" s="229">
        <v>0</v>
      </c>
      <c r="AA24" s="229"/>
      <c r="AB24" s="229"/>
      <c r="AC24" s="229"/>
      <c r="AD24" s="229"/>
      <c r="AE24" s="229"/>
      <c r="AF24" s="227">
        <f>SUM(Z24:AE24)</f>
        <v>0</v>
      </c>
      <c r="AH24" s="229">
        <f>45+35</f>
        <v>80</v>
      </c>
      <c r="AI24" s="229"/>
      <c r="AJ24" s="229"/>
      <c r="AK24" s="229"/>
      <c r="AL24" s="229"/>
      <c r="AM24" s="229"/>
      <c r="AN24" s="227">
        <f>SUM(AH24:AM24)</f>
        <v>80</v>
      </c>
      <c r="AP24" s="229">
        <v>65</v>
      </c>
      <c r="AQ24" s="229"/>
      <c r="AR24" s="229"/>
      <c r="AS24" s="229"/>
      <c r="AT24" s="229"/>
      <c r="AU24" s="229"/>
      <c r="AV24" s="227">
        <f>SUM(AP24:AU24)</f>
        <v>65</v>
      </c>
      <c r="AX24" s="229">
        <v>15</v>
      </c>
      <c r="AY24" s="229"/>
      <c r="AZ24" s="229"/>
      <c r="BA24" s="229"/>
      <c r="BB24" s="229"/>
      <c r="BC24" s="229"/>
      <c r="BD24" s="227">
        <f>SUM(AX24:BC24)</f>
        <v>15</v>
      </c>
      <c r="BF24" s="229"/>
      <c r="BG24" s="229"/>
      <c r="BH24" s="229"/>
      <c r="BI24" s="229"/>
      <c r="BJ24" s="229"/>
      <c r="BK24" s="229"/>
      <c r="BL24" s="227">
        <f>SUM(BF24:BK24)</f>
        <v>0</v>
      </c>
      <c r="BN24" s="229">
        <f t="shared" si="2"/>
        <v>303</v>
      </c>
      <c r="BO24" s="229">
        <f t="shared" si="1"/>
        <v>0</v>
      </c>
      <c r="BP24" s="229">
        <f t="shared" si="1"/>
        <v>0</v>
      </c>
      <c r="BQ24" s="229">
        <f t="shared" si="1"/>
        <v>0</v>
      </c>
      <c r="BR24" s="229">
        <f t="shared" si="1"/>
        <v>0</v>
      </c>
      <c r="BS24" s="229">
        <f t="shared" si="1"/>
        <v>0</v>
      </c>
      <c r="BT24" s="227">
        <f>SUM(BN24:BS24)</f>
        <v>303</v>
      </c>
    </row>
    <row r="25" spans="1:72" x14ac:dyDescent="0.25">
      <c r="A25" s="185" t="s">
        <v>178</v>
      </c>
      <c r="B25" s="230"/>
      <c r="C25" s="230"/>
      <c r="D25" s="231">
        <v>0.2828</v>
      </c>
      <c r="E25" s="231"/>
      <c r="F25" s="231"/>
      <c r="G25" s="231"/>
      <c r="H25" s="230">
        <v>0.06</v>
      </c>
      <c r="J25" s="230"/>
      <c r="K25" s="230"/>
      <c r="L25" s="231">
        <v>0.2828</v>
      </c>
      <c r="M25" s="231"/>
      <c r="N25" s="231"/>
      <c r="O25" s="231"/>
      <c r="P25" s="230">
        <f>L25</f>
        <v>0.2828</v>
      </c>
      <c r="R25" s="230"/>
      <c r="S25" s="230"/>
      <c r="T25" s="231">
        <v>0.2828</v>
      </c>
      <c r="U25" s="231"/>
      <c r="V25" s="231"/>
      <c r="W25" s="231"/>
      <c r="X25" s="230">
        <f>T25</f>
        <v>0.2828</v>
      </c>
      <c r="Z25" s="230"/>
      <c r="AA25" s="230"/>
      <c r="AB25" s="231">
        <v>0.2455</v>
      </c>
      <c r="AC25" s="231"/>
      <c r="AD25" s="231"/>
      <c r="AE25" s="231"/>
      <c r="AF25" s="230">
        <f>AB25</f>
        <v>0.2455</v>
      </c>
      <c r="AH25" s="230"/>
      <c r="AI25" s="230"/>
      <c r="AJ25" s="231">
        <v>0.1958</v>
      </c>
      <c r="AK25" s="231"/>
      <c r="AL25" s="231"/>
      <c r="AM25" s="231"/>
      <c r="AN25" s="230">
        <f>AJ25</f>
        <v>0.1958</v>
      </c>
      <c r="AP25" s="230"/>
      <c r="AQ25" s="230"/>
      <c r="AR25" s="231">
        <v>1</v>
      </c>
      <c r="AS25" s="231"/>
      <c r="AT25" s="231"/>
      <c r="AU25" s="231"/>
      <c r="AV25" s="230">
        <f>AR25</f>
        <v>1</v>
      </c>
      <c r="AX25" s="230"/>
      <c r="AY25" s="230"/>
      <c r="AZ25" s="231">
        <v>0.37409999999999999</v>
      </c>
      <c r="BA25" s="231"/>
      <c r="BB25" s="231"/>
      <c r="BC25" s="231"/>
      <c r="BD25" s="230">
        <f>AZ25</f>
        <v>0.37409999999999999</v>
      </c>
      <c r="BF25" s="230"/>
      <c r="BG25" s="230"/>
      <c r="BH25" s="231"/>
      <c r="BI25" s="231"/>
      <c r="BJ25" s="231"/>
      <c r="BK25" s="231"/>
      <c r="BL25" s="230"/>
      <c r="BN25" s="229">
        <f t="shared" si="2"/>
        <v>0</v>
      </c>
      <c r="BO25" s="229">
        <f t="shared" si="1"/>
        <v>0</v>
      </c>
      <c r="BP25" s="229"/>
      <c r="BQ25" s="229">
        <f t="shared" si="1"/>
        <v>0</v>
      </c>
      <c r="BR25" s="229">
        <f t="shared" si="1"/>
        <v>0</v>
      </c>
      <c r="BS25" s="229">
        <f t="shared" si="1"/>
        <v>0</v>
      </c>
      <c r="BT25" s="230"/>
    </row>
    <row r="26" spans="1:72" x14ac:dyDescent="0.25">
      <c r="A26" s="189" t="s">
        <v>179</v>
      </c>
      <c r="B26" s="228" t="s">
        <v>309</v>
      </c>
      <c r="C26" s="228" t="s">
        <v>310</v>
      </c>
      <c r="D26" s="228" t="s">
        <v>311</v>
      </c>
      <c r="E26" s="228" t="str">
        <f>E20</f>
        <v>Other</v>
      </c>
      <c r="F26" s="228" t="s">
        <v>313</v>
      </c>
      <c r="G26" s="228" t="s">
        <v>314</v>
      </c>
      <c r="H26" s="228" t="s">
        <v>59</v>
      </c>
      <c r="J26" s="228" t="s">
        <v>309</v>
      </c>
      <c r="K26" s="228" t="s">
        <v>310</v>
      </c>
      <c r="L26" s="228" t="s">
        <v>311</v>
      </c>
      <c r="M26" s="228" t="str">
        <f>M20</f>
        <v>Other</v>
      </c>
      <c r="N26" s="228" t="s">
        <v>313</v>
      </c>
      <c r="O26" s="228" t="s">
        <v>314</v>
      </c>
      <c r="P26" s="228" t="str">
        <f>P20</f>
        <v>Cadence</v>
      </c>
      <c r="R26" s="228" t="s">
        <v>309</v>
      </c>
      <c r="S26" s="228" t="s">
        <v>310</v>
      </c>
      <c r="T26" s="228" t="s">
        <v>311</v>
      </c>
      <c r="U26" s="228" t="str">
        <f>U20</f>
        <v>Other</v>
      </c>
      <c r="V26" s="228" t="s">
        <v>313</v>
      </c>
      <c r="W26" s="228" t="s">
        <v>314</v>
      </c>
      <c r="X26" s="228" t="str">
        <f>X20</f>
        <v>St. Rose</v>
      </c>
      <c r="Z26" s="228" t="s">
        <v>309</v>
      </c>
      <c r="AA26" s="228" t="s">
        <v>310</v>
      </c>
      <c r="AB26" s="228" t="s">
        <v>311</v>
      </c>
      <c r="AC26" s="228" t="str">
        <f>AC20</f>
        <v>Other</v>
      </c>
      <c r="AD26" s="228" t="s">
        <v>313</v>
      </c>
      <c r="AE26" s="228" t="s">
        <v>314</v>
      </c>
      <c r="AF26" s="228" t="str">
        <f>AF20</f>
        <v>Inspirada</v>
      </c>
      <c r="AH26" s="228" t="s">
        <v>309</v>
      </c>
      <c r="AI26" s="228" t="s">
        <v>310</v>
      </c>
      <c r="AJ26" s="228" t="s">
        <v>311</v>
      </c>
      <c r="AK26" s="228" t="str">
        <f>AK20</f>
        <v>Other</v>
      </c>
      <c r="AL26" s="228" t="s">
        <v>313</v>
      </c>
      <c r="AM26" s="228" t="s">
        <v>314</v>
      </c>
      <c r="AN26" s="228" t="str">
        <f>AN20</f>
        <v>Sloan</v>
      </c>
      <c r="AP26" s="228" t="s">
        <v>309</v>
      </c>
      <c r="AQ26" s="228" t="s">
        <v>310</v>
      </c>
      <c r="AR26" s="228" t="s">
        <v>311</v>
      </c>
      <c r="AS26" s="228" t="str">
        <f>AS20</f>
        <v>Other</v>
      </c>
      <c r="AT26" s="228" t="s">
        <v>313</v>
      </c>
      <c r="AU26" s="228" t="s">
        <v>314</v>
      </c>
      <c r="AV26" s="228" t="str">
        <f>AV20</f>
        <v>Springs</v>
      </c>
      <c r="AX26" s="228" t="s">
        <v>309</v>
      </c>
      <c r="AY26" s="228" t="s">
        <v>310</v>
      </c>
      <c r="AZ26" s="228" t="s">
        <v>311</v>
      </c>
      <c r="BA26" s="228" t="str">
        <f>BA20</f>
        <v>Other</v>
      </c>
      <c r="BB26" s="228" t="s">
        <v>313</v>
      </c>
      <c r="BC26" s="228" t="s">
        <v>314</v>
      </c>
      <c r="BD26" s="228" t="str">
        <f>BD20</f>
        <v>Virtual</v>
      </c>
      <c r="BF26" s="228" t="s">
        <v>309</v>
      </c>
      <c r="BG26" s="228" t="s">
        <v>310</v>
      </c>
      <c r="BH26" s="228" t="s">
        <v>311</v>
      </c>
      <c r="BI26" s="228" t="str">
        <f>BI20</f>
        <v>Other</v>
      </c>
      <c r="BJ26" s="228" t="s">
        <v>313</v>
      </c>
      <c r="BK26" s="228" t="s">
        <v>314</v>
      </c>
      <c r="BL26" s="228" t="str">
        <f>BL20</f>
        <v>Central</v>
      </c>
      <c r="BN26" s="228" t="s">
        <v>309</v>
      </c>
      <c r="BO26" s="228" t="s">
        <v>310</v>
      </c>
      <c r="BP26" s="228" t="s">
        <v>311</v>
      </c>
      <c r="BQ26" s="228" t="str">
        <f>BQ20</f>
        <v>Other</v>
      </c>
      <c r="BR26" s="228" t="s">
        <v>313</v>
      </c>
      <c r="BS26" s="228" t="s">
        <v>314</v>
      </c>
      <c r="BT26" s="228" t="str">
        <f>BT20</f>
        <v>System</v>
      </c>
    </row>
    <row r="27" spans="1:72" x14ac:dyDescent="0.25">
      <c r="A27" s="190" t="s">
        <v>180</v>
      </c>
      <c r="B27" s="232">
        <v>36</v>
      </c>
      <c r="C27" s="232"/>
      <c r="D27" s="232"/>
      <c r="E27" s="232"/>
      <c r="F27" s="232"/>
      <c r="G27" s="232"/>
      <c r="H27" s="232">
        <f t="shared" ref="H27:H35" si="3">SUM(B27:G27)</f>
        <v>36</v>
      </c>
      <c r="J27" s="232">
        <v>85</v>
      </c>
      <c r="K27" s="232"/>
      <c r="L27" s="232"/>
      <c r="M27" s="232"/>
      <c r="N27" s="232"/>
      <c r="O27" s="232"/>
      <c r="P27" s="232">
        <f t="shared" ref="P27:P35" si="4">SUM(J27:O27)</f>
        <v>85</v>
      </c>
      <c r="R27" s="232">
        <v>36</v>
      </c>
      <c r="S27" s="232"/>
      <c r="T27" s="232"/>
      <c r="U27" s="232"/>
      <c r="V27" s="232"/>
      <c r="W27" s="232"/>
      <c r="X27" s="232">
        <f t="shared" ref="X27:X35" si="5">SUM(R27:W27)</f>
        <v>36</v>
      </c>
      <c r="Z27" s="232">
        <v>46</v>
      </c>
      <c r="AA27" s="232"/>
      <c r="AB27" s="232"/>
      <c r="AC27" s="232"/>
      <c r="AD27" s="232"/>
      <c r="AE27" s="232"/>
      <c r="AF27" s="232">
        <f t="shared" ref="AF27:AF35" si="6">SUM(Z27:AE27)</f>
        <v>46</v>
      </c>
      <c r="AH27" s="232">
        <v>87</v>
      </c>
      <c r="AI27" s="232"/>
      <c r="AJ27" s="232"/>
      <c r="AK27" s="232"/>
      <c r="AL27" s="232"/>
      <c r="AM27" s="232"/>
      <c r="AN27" s="232">
        <f t="shared" ref="AN27:AN35" si="7">SUM(AH27:AM27)</f>
        <v>87</v>
      </c>
      <c r="AP27" s="232">
        <v>30</v>
      </c>
      <c r="AQ27" s="232"/>
      <c r="AR27" s="232"/>
      <c r="AS27" s="232"/>
      <c r="AT27" s="232"/>
      <c r="AU27" s="232"/>
      <c r="AV27" s="232">
        <f t="shared" ref="AV27:AV35" si="8">SUM(AP27:AU27)</f>
        <v>30</v>
      </c>
      <c r="AX27" s="232">
        <v>0</v>
      </c>
      <c r="AY27" s="232"/>
      <c r="AZ27" s="232"/>
      <c r="BA27" s="232"/>
      <c r="BB27" s="232"/>
      <c r="BC27" s="232"/>
      <c r="BD27" s="232">
        <f t="shared" ref="BD27:BD35" si="9">SUM(AX27:BC27)</f>
        <v>0</v>
      </c>
      <c r="BF27" s="232"/>
      <c r="BG27" s="232"/>
      <c r="BH27" s="232"/>
      <c r="BI27" s="232"/>
      <c r="BJ27" s="232"/>
      <c r="BK27" s="232"/>
      <c r="BL27" s="232">
        <f t="shared" ref="BL27:BL35" si="10">SUM(BF27:BK27)</f>
        <v>0</v>
      </c>
      <c r="BN27" s="229">
        <f>B27+J27+R27+Z27+AH27+AP27+AX27+BF27</f>
        <v>320</v>
      </c>
      <c r="BO27" s="229">
        <f t="shared" ref="BO27:BS35" si="11">C27+K27+S27+AA27+AI27+AQ27+AY27+BG27</f>
        <v>0</v>
      </c>
      <c r="BP27" s="229">
        <f t="shared" si="11"/>
        <v>0</v>
      </c>
      <c r="BQ27" s="229">
        <f t="shared" si="11"/>
        <v>0</v>
      </c>
      <c r="BR27" s="229">
        <f t="shared" si="11"/>
        <v>0</v>
      </c>
      <c r="BS27" s="229">
        <f t="shared" si="11"/>
        <v>0</v>
      </c>
      <c r="BT27" s="232">
        <f t="shared" ref="BT27:BT35" si="12">SUM(BN27:BS27)</f>
        <v>320</v>
      </c>
    </row>
    <row r="28" spans="1:72" x14ac:dyDescent="0.25">
      <c r="A28" s="190" t="s">
        <v>181</v>
      </c>
      <c r="B28" s="233">
        <v>0</v>
      </c>
      <c r="C28" s="233">
        <v>5</v>
      </c>
      <c r="D28" s="233"/>
      <c r="E28" s="233"/>
      <c r="F28" s="233"/>
      <c r="G28" s="233"/>
      <c r="H28" s="232">
        <f t="shared" si="3"/>
        <v>5</v>
      </c>
      <c r="J28" s="233"/>
      <c r="K28" s="233">
        <v>13</v>
      </c>
      <c r="L28" s="233"/>
      <c r="M28" s="233"/>
      <c r="N28" s="233"/>
      <c r="O28" s="233"/>
      <c r="P28" s="232">
        <f t="shared" si="4"/>
        <v>13</v>
      </c>
      <c r="R28" s="233">
        <v>0</v>
      </c>
      <c r="S28" s="233">
        <v>4</v>
      </c>
      <c r="T28" s="233"/>
      <c r="U28" s="233"/>
      <c r="V28" s="233"/>
      <c r="W28" s="233"/>
      <c r="X28" s="232">
        <f t="shared" si="5"/>
        <v>4</v>
      </c>
      <c r="Z28" s="233">
        <v>0</v>
      </c>
      <c r="AA28" s="233">
        <v>5</v>
      </c>
      <c r="AB28" s="233"/>
      <c r="AC28" s="233"/>
      <c r="AD28" s="233"/>
      <c r="AE28" s="233"/>
      <c r="AF28" s="232">
        <f t="shared" si="6"/>
        <v>5</v>
      </c>
      <c r="AH28" s="233">
        <v>0</v>
      </c>
      <c r="AI28" s="233">
        <v>13</v>
      </c>
      <c r="AJ28" s="233"/>
      <c r="AK28" s="233"/>
      <c r="AL28" s="233"/>
      <c r="AM28" s="233"/>
      <c r="AN28" s="232">
        <f t="shared" si="7"/>
        <v>13</v>
      </c>
      <c r="AP28" s="233">
        <v>0</v>
      </c>
      <c r="AQ28" s="233">
        <v>3.5</v>
      </c>
      <c r="AR28" s="233"/>
      <c r="AS28" s="233"/>
      <c r="AT28" s="233"/>
      <c r="AU28" s="233"/>
      <c r="AV28" s="232">
        <f t="shared" si="8"/>
        <v>3.5</v>
      </c>
      <c r="AX28" s="233">
        <v>0</v>
      </c>
      <c r="AY28" s="233">
        <v>1</v>
      </c>
      <c r="AZ28" s="233"/>
      <c r="BA28" s="233"/>
      <c r="BB28" s="233"/>
      <c r="BC28" s="233"/>
      <c r="BD28" s="232">
        <f t="shared" si="9"/>
        <v>1</v>
      </c>
      <c r="BF28" s="233"/>
      <c r="BG28" s="233"/>
      <c r="BH28" s="233"/>
      <c r="BI28" s="233"/>
      <c r="BJ28" s="233"/>
      <c r="BK28" s="233"/>
      <c r="BL28" s="232">
        <f t="shared" si="10"/>
        <v>0</v>
      </c>
      <c r="BN28" s="229">
        <f t="shared" ref="BN28:BN35" si="13">B28+J28+R28+Z28+AH28+AP28+AX28+BF28</f>
        <v>0</v>
      </c>
      <c r="BO28" s="229">
        <f t="shared" si="11"/>
        <v>44.5</v>
      </c>
      <c r="BP28" s="229">
        <f t="shared" si="11"/>
        <v>0</v>
      </c>
      <c r="BQ28" s="229">
        <f t="shared" si="11"/>
        <v>0</v>
      </c>
      <c r="BR28" s="229">
        <f t="shared" si="11"/>
        <v>0</v>
      </c>
      <c r="BS28" s="229">
        <f t="shared" si="11"/>
        <v>0</v>
      </c>
      <c r="BT28" s="232">
        <f t="shared" si="12"/>
        <v>44.5</v>
      </c>
    </row>
    <row r="29" spans="1:72" x14ac:dyDescent="0.25">
      <c r="A29" s="190" t="s">
        <v>182</v>
      </c>
      <c r="B29" s="232">
        <v>1</v>
      </c>
      <c r="C29" s="232"/>
      <c r="D29" s="232"/>
      <c r="E29" s="232"/>
      <c r="F29" s="232"/>
      <c r="G29" s="232"/>
      <c r="H29" s="232">
        <f t="shared" si="3"/>
        <v>1</v>
      </c>
      <c r="J29" s="232">
        <v>2</v>
      </c>
      <c r="K29" s="232"/>
      <c r="L29" s="232"/>
      <c r="M29" s="232"/>
      <c r="N29" s="232"/>
      <c r="O29" s="232"/>
      <c r="P29" s="232">
        <f t="shared" si="4"/>
        <v>2</v>
      </c>
      <c r="R29" s="232">
        <v>1</v>
      </c>
      <c r="S29" s="232"/>
      <c r="T29" s="232"/>
      <c r="U29" s="232"/>
      <c r="V29" s="232"/>
      <c r="W29" s="232"/>
      <c r="X29" s="232">
        <f t="shared" si="5"/>
        <v>1</v>
      </c>
      <c r="Z29" s="232">
        <v>1</v>
      </c>
      <c r="AA29" s="232"/>
      <c r="AB29" s="232"/>
      <c r="AC29" s="232"/>
      <c r="AD29" s="232"/>
      <c r="AE29" s="232"/>
      <c r="AF29" s="232">
        <f t="shared" si="6"/>
        <v>1</v>
      </c>
      <c r="AH29" s="232">
        <v>2</v>
      </c>
      <c r="AI29" s="232"/>
      <c r="AJ29" s="232"/>
      <c r="AK29" s="232"/>
      <c r="AL29" s="232"/>
      <c r="AM29" s="232"/>
      <c r="AN29" s="232">
        <f t="shared" si="7"/>
        <v>2</v>
      </c>
      <c r="AP29" s="232">
        <v>1</v>
      </c>
      <c r="AQ29" s="232"/>
      <c r="AR29" s="232"/>
      <c r="AS29" s="232"/>
      <c r="AT29" s="232"/>
      <c r="AU29" s="232"/>
      <c r="AV29" s="232">
        <f t="shared" si="8"/>
        <v>1</v>
      </c>
      <c r="AX29" s="232">
        <v>0</v>
      </c>
      <c r="AY29" s="232"/>
      <c r="AZ29" s="232"/>
      <c r="BA29" s="232"/>
      <c r="BB29" s="232"/>
      <c r="BC29" s="232"/>
      <c r="BD29" s="232">
        <f t="shared" si="9"/>
        <v>0</v>
      </c>
      <c r="BF29" s="232"/>
      <c r="BG29" s="232"/>
      <c r="BH29" s="232"/>
      <c r="BI29" s="232"/>
      <c r="BJ29" s="232"/>
      <c r="BK29" s="232"/>
      <c r="BL29" s="232">
        <f t="shared" si="10"/>
        <v>0</v>
      </c>
      <c r="BN29" s="229">
        <f t="shared" si="13"/>
        <v>8</v>
      </c>
      <c r="BO29" s="229">
        <f t="shared" si="11"/>
        <v>0</v>
      </c>
      <c r="BP29" s="229">
        <f t="shared" si="11"/>
        <v>0</v>
      </c>
      <c r="BQ29" s="229">
        <f t="shared" si="11"/>
        <v>0</v>
      </c>
      <c r="BR29" s="229">
        <f t="shared" si="11"/>
        <v>0</v>
      </c>
      <c r="BS29" s="229">
        <f t="shared" si="11"/>
        <v>0</v>
      </c>
      <c r="BT29" s="232">
        <f t="shared" si="12"/>
        <v>8</v>
      </c>
    </row>
    <row r="30" spans="1:72" x14ac:dyDescent="0.25">
      <c r="A30" s="190" t="s">
        <v>183</v>
      </c>
      <c r="B30" s="232">
        <v>1</v>
      </c>
      <c r="C30" s="232"/>
      <c r="D30" s="232"/>
      <c r="E30" s="232"/>
      <c r="F30" s="232"/>
      <c r="G30" s="232"/>
      <c r="H30" s="232">
        <f t="shared" si="3"/>
        <v>1</v>
      </c>
      <c r="J30" s="232">
        <v>2</v>
      </c>
      <c r="K30" s="232"/>
      <c r="L30" s="232"/>
      <c r="M30" s="232"/>
      <c r="N30" s="232"/>
      <c r="O30" s="232"/>
      <c r="P30" s="232">
        <f t="shared" si="4"/>
        <v>2</v>
      </c>
      <c r="R30" s="232">
        <v>1</v>
      </c>
      <c r="S30" s="232"/>
      <c r="T30" s="232"/>
      <c r="U30" s="232"/>
      <c r="V30" s="232"/>
      <c r="W30" s="232"/>
      <c r="X30" s="232">
        <f t="shared" si="5"/>
        <v>1</v>
      </c>
      <c r="Z30" s="232">
        <v>1</v>
      </c>
      <c r="AA30" s="232"/>
      <c r="AB30" s="232"/>
      <c r="AC30" s="232"/>
      <c r="AD30" s="232"/>
      <c r="AE30" s="232"/>
      <c r="AF30" s="232">
        <f t="shared" si="6"/>
        <v>1</v>
      </c>
      <c r="AH30" s="232">
        <v>3</v>
      </c>
      <c r="AI30" s="232"/>
      <c r="AJ30" s="232"/>
      <c r="AK30" s="232"/>
      <c r="AL30" s="232"/>
      <c r="AM30" s="232"/>
      <c r="AN30" s="232">
        <f t="shared" si="7"/>
        <v>3</v>
      </c>
      <c r="AP30" s="232">
        <v>1</v>
      </c>
      <c r="AQ30" s="232"/>
      <c r="AR30" s="232"/>
      <c r="AS30" s="232"/>
      <c r="AT30" s="232"/>
      <c r="AU30" s="232"/>
      <c r="AV30" s="232">
        <f t="shared" si="8"/>
        <v>1</v>
      </c>
      <c r="AX30" s="232">
        <v>0</v>
      </c>
      <c r="AY30" s="232"/>
      <c r="AZ30" s="232"/>
      <c r="BA30" s="232"/>
      <c r="BB30" s="232"/>
      <c r="BC30" s="232"/>
      <c r="BD30" s="232">
        <f t="shared" si="9"/>
        <v>0</v>
      </c>
      <c r="BF30" s="232">
        <v>1</v>
      </c>
      <c r="BG30" s="232"/>
      <c r="BH30" s="232"/>
      <c r="BI30" s="232"/>
      <c r="BJ30" s="232"/>
      <c r="BK30" s="232"/>
      <c r="BL30" s="232">
        <f t="shared" si="10"/>
        <v>1</v>
      </c>
      <c r="BN30" s="229">
        <f t="shared" si="13"/>
        <v>10</v>
      </c>
      <c r="BO30" s="229">
        <f t="shared" si="11"/>
        <v>0</v>
      </c>
      <c r="BP30" s="229">
        <f t="shared" si="11"/>
        <v>0</v>
      </c>
      <c r="BQ30" s="229">
        <f t="shared" si="11"/>
        <v>0</v>
      </c>
      <c r="BR30" s="229">
        <f t="shared" si="11"/>
        <v>0</v>
      </c>
      <c r="BS30" s="229">
        <f t="shared" si="11"/>
        <v>0</v>
      </c>
      <c r="BT30" s="232">
        <f t="shared" si="12"/>
        <v>10</v>
      </c>
    </row>
    <row r="31" spans="1:72" x14ac:dyDescent="0.25">
      <c r="A31" s="190" t="s">
        <v>184</v>
      </c>
      <c r="B31" s="232">
        <v>1</v>
      </c>
      <c r="C31" s="232"/>
      <c r="D31" s="232"/>
      <c r="E31" s="232"/>
      <c r="F31" s="232"/>
      <c r="G31" s="232"/>
      <c r="H31" s="232">
        <f t="shared" si="3"/>
        <v>1</v>
      </c>
      <c r="J31" s="232">
        <v>3</v>
      </c>
      <c r="K31" s="232"/>
      <c r="L31" s="232"/>
      <c r="M31" s="232"/>
      <c r="N31" s="232"/>
      <c r="O31" s="232"/>
      <c r="P31" s="232">
        <f t="shared" si="4"/>
        <v>3</v>
      </c>
      <c r="R31" s="232">
        <v>1</v>
      </c>
      <c r="S31" s="232"/>
      <c r="T31" s="232"/>
      <c r="U31" s="232"/>
      <c r="V31" s="232"/>
      <c r="W31" s="232"/>
      <c r="X31" s="232">
        <f t="shared" si="5"/>
        <v>1</v>
      </c>
      <c r="Z31" s="232">
        <v>1</v>
      </c>
      <c r="AA31" s="232"/>
      <c r="AB31" s="232"/>
      <c r="AC31" s="232"/>
      <c r="AD31" s="232"/>
      <c r="AE31" s="232"/>
      <c r="AF31" s="232">
        <f t="shared" si="6"/>
        <v>1</v>
      </c>
      <c r="AH31" s="232">
        <v>3</v>
      </c>
      <c r="AI31" s="232"/>
      <c r="AJ31" s="232"/>
      <c r="AK31" s="232"/>
      <c r="AL31" s="232"/>
      <c r="AM31" s="232"/>
      <c r="AN31" s="232">
        <f t="shared" si="7"/>
        <v>3</v>
      </c>
      <c r="AP31" s="232">
        <v>1</v>
      </c>
      <c r="AQ31" s="232"/>
      <c r="AR31" s="232"/>
      <c r="AS31" s="232"/>
      <c r="AT31" s="232"/>
      <c r="AU31" s="232"/>
      <c r="AV31" s="232">
        <f t="shared" si="8"/>
        <v>1</v>
      </c>
      <c r="AX31" s="232">
        <v>0</v>
      </c>
      <c r="AY31" s="232"/>
      <c r="AZ31" s="232"/>
      <c r="BA31" s="232"/>
      <c r="BB31" s="232"/>
      <c r="BC31" s="232"/>
      <c r="BD31" s="232">
        <f t="shared" si="9"/>
        <v>0</v>
      </c>
      <c r="BF31" s="232"/>
      <c r="BG31" s="232"/>
      <c r="BH31" s="232"/>
      <c r="BI31" s="232"/>
      <c r="BJ31" s="232"/>
      <c r="BK31" s="232"/>
      <c r="BL31" s="232">
        <f t="shared" si="10"/>
        <v>0</v>
      </c>
      <c r="BN31" s="229">
        <f t="shared" si="13"/>
        <v>10</v>
      </c>
      <c r="BO31" s="229">
        <f t="shared" si="11"/>
        <v>0</v>
      </c>
      <c r="BP31" s="229">
        <f t="shared" si="11"/>
        <v>0</v>
      </c>
      <c r="BQ31" s="229">
        <f t="shared" si="11"/>
        <v>0</v>
      </c>
      <c r="BR31" s="229">
        <f t="shared" si="11"/>
        <v>0</v>
      </c>
      <c r="BS31" s="229">
        <f t="shared" si="11"/>
        <v>0</v>
      </c>
      <c r="BT31" s="232">
        <f t="shared" si="12"/>
        <v>10</v>
      </c>
    </row>
    <row r="32" spans="1:72" x14ac:dyDescent="0.25">
      <c r="A32" s="191" t="s">
        <v>185</v>
      </c>
      <c r="B32" s="232">
        <v>1</v>
      </c>
      <c r="C32" s="232"/>
      <c r="D32" s="232"/>
      <c r="E32" s="232"/>
      <c r="F32" s="232"/>
      <c r="G32" s="232"/>
      <c r="H32" s="232">
        <f t="shared" si="3"/>
        <v>1</v>
      </c>
      <c r="J32" s="232">
        <v>3</v>
      </c>
      <c r="K32" s="232"/>
      <c r="L32" s="232"/>
      <c r="M32" s="232"/>
      <c r="N32" s="232"/>
      <c r="O32" s="232"/>
      <c r="P32" s="232">
        <f t="shared" si="4"/>
        <v>3</v>
      </c>
      <c r="R32" s="232">
        <v>1</v>
      </c>
      <c r="S32" s="232"/>
      <c r="T32" s="232"/>
      <c r="U32" s="232"/>
      <c r="V32" s="232"/>
      <c r="W32" s="232"/>
      <c r="X32" s="232">
        <f t="shared" si="5"/>
        <v>1</v>
      </c>
      <c r="Z32" s="232">
        <v>1</v>
      </c>
      <c r="AA32" s="232"/>
      <c r="AB32" s="232"/>
      <c r="AC32" s="232"/>
      <c r="AD32" s="232"/>
      <c r="AE32" s="232"/>
      <c r="AF32" s="232">
        <f t="shared" si="6"/>
        <v>1</v>
      </c>
      <c r="AH32" s="232">
        <v>2</v>
      </c>
      <c r="AI32" s="232"/>
      <c r="AJ32" s="232"/>
      <c r="AK32" s="232"/>
      <c r="AL32" s="232"/>
      <c r="AM32" s="232"/>
      <c r="AN32" s="232">
        <f t="shared" si="7"/>
        <v>2</v>
      </c>
      <c r="AP32" s="232">
        <v>1</v>
      </c>
      <c r="AQ32" s="232"/>
      <c r="AR32" s="232"/>
      <c r="AS32" s="232"/>
      <c r="AT32" s="232"/>
      <c r="AU32" s="232"/>
      <c r="AV32" s="232">
        <f t="shared" si="8"/>
        <v>1</v>
      </c>
      <c r="AX32" s="232">
        <v>0</v>
      </c>
      <c r="AY32" s="232"/>
      <c r="AZ32" s="232"/>
      <c r="BA32" s="232"/>
      <c r="BB32" s="232"/>
      <c r="BC32" s="232"/>
      <c r="BD32" s="232">
        <f t="shared" si="9"/>
        <v>0</v>
      </c>
      <c r="BF32" s="232"/>
      <c r="BG32" s="232"/>
      <c r="BH32" s="232"/>
      <c r="BI32" s="232"/>
      <c r="BJ32" s="232"/>
      <c r="BK32" s="232"/>
      <c r="BL32" s="232">
        <f t="shared" si="10"/>
        <v>0</v>
      </c>
      <c r="BN32" s="229">
        <f t="shared" si="13"/>
        <v>9</v>
      </c>
      <c r="BO32" s="229">
        <f t="shared" si="11"/>
        <v>0</v>
      </c>
      <c r="BP32" s="229">
        <f t="shared" si="11"/>
        <v>0</v>
      </c>
      <c r="BQ32" s="229">
        <f t="shared" si="11"/>
        <v>0</v>
      </c>
      <c r="BR32" s="229">
        <f t="shared" si="11"/>
        <v>0</v>
      </c>
      <c r="BS32" s="229">
        <f t="shared" si="11"/>
        <v>0</v>
      </c>
      <c r="BT32" s="232">
        <f t="shared" si="12"/>
        <v>9</v>
      </c>
    </row>
    <row r="33" spans="1:72" x14ac:dyDescent="0.25">
      <c r="A33" s="191" t="s">
        <v>186</v>
      </c>
      <c r="B33" s="232">
        <v>1</v>
      </c>
      <c r="C33" s="232"/>
      <c r="D33" s="232"/>
      <c r="E33" s="232"/>
      <c r="F33" s="232"/>
      <c r="G33" s="232"/>
      <c r="H33" s="232">
        <f t="shared" si="3"/>
        <v>1</v>
      </c>
      <c r="J33" s="232">
        <v>2</v>
      </c>
      <c r="K33" s="232"/>
      <c r="L33" s="232"/>
      <c r="M33" s="232"/>
      <c r="N33" s="232"/>
      <c r="O33" s="232"/>
      <c r="P33" s="232">
        <f t="shared" si="4"/>
        <v>2</v>
      </c>
      <c r="R33" s="232">
        <v>1</v>
      </c>
      <c r="S33" s="232"/>
      <c r="T33" s="232"/>
      <c r="U33" s="232"/>
      <c r="V33" s="232"/>
      <c r="W33" s="232"/>
      <c r="X33" s="232">
        <f t="shared" si="5"/>
        <v>1</v>
      </c>
      <c r="Z33" s="232">
        <v>1</v>
      </c>
      <c r="AA33" s="232"/>
      <c r="AB33" s="232"/>
      <c r="AC33" s="232"/>
      <c r="AD33" s="232"/>
      <c r="AE33" s="232"/>
      <c r="AF33" s="232">
        <f t="shared" si="6"/>
        <v>1</v>
      </c>
      <c r="AH33" s="232">
        <v>2</v>
      </c>
      <c r="AI33" s="232"/>
      <c r="AJ33" s="232"/>
      <c r="AK33" s="232"/>
      <c r="AL33" s="232"/>
      <c r="AM33" s="232"/>
      <c r="AN33" s="232">
        <f t="shared" si="7"/>
        <v>2</v>
      </c>
      <c r="AP33" s="232">
        <v>0</v>
      </c>
      <c r="AQ33" s="232"/>
      <c r="AR33" s="232"/>
      <c r="AS33" s="232"/>
      <c r="AT33" s="232"/>
      <c r="AU33" s="232"/>
      <c r="AV33" s="232">
        <f t="shared" si="8"/>
        <v>0</v>
      </c>
      <c r="AX33" s="232">
        <v>0</v>
      </c>
      <c r="AY33" s="232"/>
      <c r="AZ33" s="232"/>
      <c r="BA33" s="232"/>
      <c r="BB33" s="232"/>
      <c r="BC33" s="232"/>
      <c r="BD33" s="232">
        <f t="shared" si="9"/>
        <v>0</v>
      </c>
      <c r="BF33" s="232"/>
      <c r="BG33" s="232"/>
      <c r="BH33" s="232"/>
      <c r="BI33" s="232"/>
      <c r="BJ33" s="232"/>
      <c r="BK33" s="232"/>
      <c r="BL33" s="232">
        <f t="shared" si="10"/>
        <v>0</v>
      </c>
      <c r="BN33" s="229">
        <f t="shared" si="13"/>
        <v>7</v>
      </c>
      <c r="BO33" s="229">
        <f t="shared" si="11"/>
        <v>0</v>
      </c>
      <c r="BP33" s="229">
        <f t="shared" si="11"/>
        <v>0</v>
      </c>
      <c r="BQ33" s="229">
        <f t="shared" si="11"/>
        <v>0</v>
      </c>
      <c r="BR33" s="229">
        <f t="shared" si="11"/>
        <v>0</v>
      </c>
      <c r="BS33" s="229">
        <f t="shared" si="11"/>
        <v>0</v>
      </c>
      <c r="BT33" s="232">
        <f t="shared" si="12"/>
        <v>7</v>
      </c>
    </row>
    <row r="34" spans="1:72" x14ac:dyDescent="0.25">
      <c r="A34" s="191" t="s">
        <v>187</v>
      </c>
      <c r="B34" s="232">
        <v>1</v>
      </c>
      <c r="C34" s="232"/>
      <c r="D34" s="232"/>
      <c r="E34" s="232"/>
      <c r="F34" s="232"/>
      <c r="G34" s="232"/>
      <c r="H34" s="232">
        <f t="shared" si="3"/>
        <v>1</v>
      </c>
      <c r="J34" s="232">
        <v>3</v>
      </c>
      <c r="K34" s="232"/>
      <c r="L34" s="232"/>
      <c r="M34" s="232"/>
      <c r="N34" s="232"/>
      <c r="O34" s="232"/>
      <c r="P34" s="232">
        <f t="shared" si="4"/>
        <v>3</v>
      </c>
      <c r="R34" s="232">
        <v>2</v>
      </c>
      <c r="S34" s="232"/>
      <c r="T34" s="232"/>
      <c r="U34" s="232"/>
      <c r="V34" s="232"/>
      <c r="W34" s="232"/>
      <c r="X34" s="232">
        <f t="shared" si="5"/>
        <v>2</v>
      </c>
      <c r="Z34" s="232">
        <v>3</v>
      </c>
      <c r="AA34" s="232"/>
      <c r="AB34" s="232"/>
      <c r="AC34" s="232"/>
      <c r="AD34" s="232"/>
      <c r="AE34" s="232"/>
      <c r="AF34" s="232">
        <f t="shared" si="6"/>
        <v>3</v>
      </c>
      <c r="AH34" s="233">
        <v>3</v>
      </c>
      <c r="AI34" s="232"/>
      <c r="AJ34" s="232"/>
      <c r="AK34" s="232"/>
      <c r="AL34" s="232"/>
      <c r="AM34" s="232"/>
      <c r="AN34" s="232">
        <f t="shared" si="7"/>
        <v>3</v>
      </c>
      <c r="AP34" s="232">
        <v>1</v>
      </c>
      <c r="AQ34" s="232"/>
      <c r="AR34" s="232"/>
      <c r="AS34" s="232"/>
      <c r="AT34" s="232"/>
      <c r="AU34" s="232"/>
      <c r="AV34" s="232">
        <f t="shared" si="8"/>
        <v>1</v>
      </c>
      <c r="AX34" s="232">
        <v>0</v>
      </c>
      <c r="AY34" s="232"/>
      <c r="AZ34" s="232"/>
      <c r="BA34" s="232"/>
      <c r="BB34" s="232"/>
      <c r="BC34" s="232"/>
      <c r="BD34" s="232">
        <f t="shared" si="9"/>
        <v>0</v>
      </c>
      <c r="BF34" s="232"/>
      <c r="BG34" s="232"/>
      <c r="BH34" s="232"/>
      <c r="BI34" s="232"/>
      <c r="BJ34" s="232"/>
      <c r="BK34" s="232"/>
      <c r="BL34" s="232">
        <f t="shared" si="10"/>
        <v>0</v>
      </c>
      <c r="BN34" s="229">
        <f t="shared" si="13"/>
        <v>13</v>
      </c>
      <c r="BO34" s="229">
        <f t="shared" si="11"/>
        <v>0</v>
      </c>
      <c r="BP34" s="229">
        <f t="shared" si="11"/>
        <v>0</v>
      </c>
      <c r="BQ34" s="229">
        <f t="shared" si="11"/>
        <v>0</v>
      </c>
      <c r="BR34" s="229">
        <f t="shared" si="11"/>
        <v>0</v>
      </c>
      <c r="BS34" s="229">
        <f t="shared" si="11"/>
        <v>0</v>
      </c>
      <c r="BT34" s="232">
        <f t="shared" si="12"/>
        <v>13</v>
      </c>
    </row>
    <row r="35" spans="1:72" x14ac:dyDescent="0.25">
      <c r="A35" s="192" t="s">
        <v>188</v>
      </c>
      <c r="B35" s="233">
        <v>0</v>
      </c>
      <c r="C35" s="232"/>
      <c r="D35" s="232"/>
      <c r="E35" s="232"/>
      <c r="F35" s="232"/>
      <c r="G35" s="232"/>
      <c r="H35" s="232">
        <f t="shared" si="3"/>
        <v>0</v>
      </c>
      <c r="J35" s="232">
        <v>1</v>
      </c>
      <c r="K35" s="232"/>
      <c r="L35" s="232"/>
      <c r="M35" s="232"/>
      <c r="N35" s="232"/>
      <c r="O35" s="232"/>
      <c r="P35" s="232">
        <f t="shared" si="4"/>
        <v>1</v>
      </c>
      <c r="R35" s="232">
        <v>1</v>
      </c>
      <c r="S35" s="232"/>
      <c r="T35" s="232"/>
      <c r="U35" s="232"/>
      <c r="V35" s="232"/>
      <c r="W35" s="232"/>
      <c r="X35" s="232">
        <f t="shared" si="5"/>
        <v>1</v>
      </c>
      <c r="Z35" s="232">
        <v>2</v>
      </c>
      <c r="AA35" s="232"/>
      <c r="AB35" s="232"/>
      <c r="AC35" s="232"/>
      <c r="AD35" s="232"/>
      <c r="AE35" s="232"/>
      <c r="AF35" s="232">
        <f t="shared" si="6"/>
        <v>2</v>
      </c>
      <c r="AH35" s="232">
        <v>1</v>
      </c>
      <c r="AI35" s="232"/>
      <c r="AJ35" s="232"/>
      <c r="AK35" s="232"/>
      <c r="AL35" s="232"/>
      <c r="AM35" s="232"/>
      <c r="AN35" s="232">
        <f t="shared" si="7"/>
        <v>1</v>
      </c>
      <c r="AP35" s="232">
        <v>0</v>
      </c>
      <c r="AQ35" s="232"/>
      <c r="AR35" s="232"/>
      <c r="AS35" s="232"/>
      <c r="AT35" s="232"/>
      <c r="AU35" s="232"/>
      <c r="AV35" s="232">
        <f t="shared" si="8"/>
        <v>0</v>
      </c>
      <c r="AX35" s="232">
        <v>0</v>
      </c>
      <c r="AY35" s="232"/>
      <c r="AZ35" s="232"/>
      <c r="BA35" s="232"/>
      <c r="BB35" s="232"/>
      <c r="BC35" s="232"/>
      <c r="BD35" s="232">
        <f t="shared" si="9"/>
        <v>0</v>
      </c>
      <c r="BF35" s="232"/>
      <c r="BG35" s="232"/>
      <c r="BH35" s="232"/>
      <c r="BI35" s="232"/>
      <c r="BJ35" s="232"/>
      <c r="BK35" s="232"/>
      <c r="BL35" s="232">
        <f t="shared" si="10"/>
        <v>0</v>
      </c>
      <c r="BN35" s="229">
        <f t="shared" si="13"/>
        <v>5</v>
      </c>
      <c r="BO35" s="229">
        <f t="shared" si="11"/>
        <v>0</v>
      </c>
      <c r="BP35" s="229">
        <f t="shared" si="11"/>
        <v>0</v>
      </c>
      <c r="BQ35" s="229">
        <f t="shared" si="11"/>
        <v>0</v>
      </c>
      <c r="BR35" s="229">
        <f t="shared" si="11"/>
        <v>0</v>
      </c>
      <c r="BS35" s="229">
        <f t="shared" si="11"/>
        <v>0</v>
      </c>
      <c r="BT35" s="232">
        <f t="shared" si="12"/>
        <v>5</v>
      </c>
    </row>
    <row r="36" spans="1:72" x14ac:dyDescent="0.25">
      <c r="A36" s="189" t="s">
        <v>189</v>
      </c>
      <c r="B36" s="234">
        <f>SUM(B27:B35)</f>
        <v>42</v>
      </c>
      <c r="C36" s="234">
        <f t="shared" ref="C36:G36" si="14">SUM(C27:C35)</f>
        <v>5</v>
      </c>
      <c r="D36" s="234">
        <f t="shared" si="14"/>
        <v>0</v>
      </c>
      <c r="E36" s="234">
        <f t="shared" si="14"/>
        <v>0</v>
      </c>
      <c r="F36" s="234">
        <f t="shared" si="14"/>
        <v>0</v>
      </c>
      <c r="G36" s="234">
        <f t="shared" si="14"/>
        <v>0</v>
      </c>
      <c r="H36" s="234">
        <f>SUM(H27:H35)</f>
        <v>47</v>
      </c>
      <c r="J36" s="234">
        <f>SUM(J27:J35)</f>
        <v>101</v>
      </c>
      <c r="K36" s="234">
        <f t="shared" ref="K36:O36" si="15">SUM(K27:K35)</f>
        <v>13</v>
      </c>
      <c r="L36" s="234">
        <f t="shared" si="15"/>
        <v>0</v>
      </c>
      <c r="M36" s="234">
        <f t="shared" si="15"/>
        <v>0</v>
      </c>
      <c r="N36" s="234">
        <f t="shared" si="15"/>
        <v>0</v>
      </c>
      <c r="O36" s="234">
        <f t="shared" si="15"/>
        <v>0</v>
      </c>
      <c r="P36" s="234">
        <f>SUM(P27:P35)</f>
        <v>114</v>
      </c>
      <c r="R36" s="234">
        <f>SUM(R27:R35)</f>
        <v>44</v>
      </c>
      <c r="S36" s="234">
        <f t="shared" ref="S36:W36" si="16">SUM(S27:S35)</f>
        <v>4</v>
      </c>
      <c r="T36" s="234">
        <f t="shared" si="16"/>
        <v>0</v>
      </c>
      <c r="U36" s="234">
        <f t="shared" si="16"/>
        <v>0</v>
      </c>
      <c r="V36" s="234">
        <f t="shared" si="16"/>
        <v>0</v>
      </c>
      <c r="W36" s="234">
        <f t="shared" si="16"/>
        <v>0</v>
      </c>
      <c r="X36" s="234">
        <f>SUM(X27:X35)</f>
        <v>48</v>
      </c>
      <c r="Z36" s="234">
        <f>SUM(Z27:Z35)</f>
        <v>56</v>
      </c>
      <c r="AA36" s="234">
        <f t="shared" ref="AA36:AE36" si="17">SUM(AA27:AA35)</f>
        <v>5</v>
      </c>
      <c r="AB36" s="234">
        <f t="shared" si="17"/>
        <v>0</v>
      </c>
      <c r="AC36" s="234">
        <f t="shared" si="17"/>
        <v>0</v>
      </c>
      <c r="AD36" s="234">
        <f t="shared" si="17"/>
        <v>0</v>
      </c>
      <c r="AE36" s="234">
        <f t="shared" si="17"/>
        <v>0</v>
      </c>
      <c r="AF36" s="234">
        <f>SUM(AF27:AF35)</f>
        <v>61</v>
      </c>
      <c r="AH36" s="234">
        <f>SUM(AH27:AH35)</f>
        <v>103</v>
      </c>
      <c r="AI36" s="234">
        <f t="shared" ref="AI36:AM36" si="18">SUM(AI27:AI35)</f>
        <v>13</v>
      </c>
      <c r="AJ36" s="234">
        <f t="shared" si="18"/>
        <v>0</v>
      </c>
      <c r="AK36" s="234">
        <f t="shared" si="18"/>
        <v>0</v>
      </c>
      <c r="AL36" s="234">
        <f t="shared" si="18"/>
        <v>0</v>
      </c>
      <c r="AM36" s="234">
        <f t="shared" si="18"/>
        <v>0</v>
      </c>
      <c r="AN36" s="234">
        <f>SUM(AN27:AN35)</f>
        <v>116</v>
      </c>
      <c r="AP36" s="234">
        <f>SUM(AP27:AP35)</f>
        <v>35</v>
      </c>
      <c r="AQ36" s="234">
        <f t="shared" ref="AQ36:AU36" si="19">SUM(AQ27:AQ35)</f>
        <v>3.5</v>
      </c>
      <c r="AR36" s="234">
        <f t="shared" si="19"/>
        <v>0</v>
      </c>
      <c r="AS36" s="234">
        <f t="shared" si="19"/>
        <v>0</v>
      </c>
      <c r="AT36" s="234">
        <f t="shared" si="19"/>
        <v>0</v>
      </c>
      <c r="AU36" s="234">
        <f t="shared" si="19"/>
        <v>0</v>
      </c>
      <c r="AV36" s="234">
        <f>SUM(AV27:AV35)</f>
        <v>38.5</v>
      </c>
      <c r="AX36" s="234">
        <f>SUM(AX27:AX35)</f>
        <v>0</v>
      </c>
      <c r="AY36" s="234">
        <f t="shared" ref="AY36:BC36" si="20">SUM(AY27:AY35)</f>
        <v>1</v>
      </c>
      <c r="AZ36" s="234">
        <f t="shared" si="20"/>
        <v>0</v>
      </c>
      <c r="BA36" s="234">
        <f t="shared" si="20"/>
        <v>0</v>
      </c>
      <c r="BB36" s="234">
        <f t="shared" si="20"/>
        <v>0</v>
      </c>
      <c r="BC36" s="234">
        <f t="shared" si="20"/>
        <v>0</v>
      </c>
      <c r="BD36" s="234">
        <f>SUM(BD27:BD35)</f>
        <v>1</v>
      </c>
      <c r="BF36" s="234">
        <f>SUM(BF27:BF35)</f>
        <v>1</v>
      </c>
      <c r="BG36" s="234">
        <f t="shared" ref="BG36:BK36" si="21">SUM(BG27:BG35)</f>
        <v>0</v>
      </c>
      <c r="BH36" s="234">
        <f t="shared" si="21"/>
        <v>0</v>
      </c>
      <c r="BI36" s="234">
        <f t="shared" si="21"/>
        <v>0</v>
      </c>
      <c r="BJ36" s="234">
        <f t="shared" si="21"/>
        <v>0</v>
      </c>
      <c r="BK36" s="234">
        <f t="shared" si="21"/>
        <v>0</v>
      </c>
      <c r="BL36" s="234">
        <f>SUM(BL27:BL35)</f>
        <v>1</v>
      </c>
      <c r="BN36" s="234">
        <f>SUM(BN27:BN35)</f>
        <v>382</v>
      </c>
      <c r="BO36" s="234">
        <f t="shared" ref="BO36:BS36" si="22">SUM(BO27:BO35)</f>
        <v>44.5</v>
      </c>
      <c r="BP36" s="234">
        <f t="shared" si="22"/>
        <v>0</v>
      </c>
      <c r="BQ36" s="234">
        <f t="shared" si="22"/>
        <v>0</v>
      </c>
      <c r="BR36" s="234">
        <f t="shared" si="22"/>
        <v>0</v>
      </c>
      <c r="BS36" s="234">
        <f t="shared" si="22"/>
        <v>0</v>
      </c>
      <c r="BT36" s="234">
        <f>SUM(BT27:BT35)</f>
        <v>426.5</v>
      </c>
    </row>
    <row r="37" spans="1:72" x14ac:dyDescent="0.25">
      <c r="A37" s="193"/>
      <c r="B37" s="227"/>
      <c r="C37" s="227"/>
      <c r="D37" s="227"/>
      <c r="E37" s="227"/>
      <c r="F37" s="227"/>
      <c r="G37" s="227"/>
      <c r="H37" s="227"/>
      <c r="J37" s="227"/>
      <c r="K37" s="227"/>
      <c r="L37" s="227"/>
      <c r="M37" s="227"/>
      <c r="N37" s="227"/>
      <c r="O37" s="227"/>
      <c r="P37" s="227"/>
      <c r="R37" s="227"/>
      <c r="S37" s="227"/>
      <c r="T37" s="227"/>
      <c r="U37" s="227"/>
      <c r="V37" s="227"/>
      <c r="W37" s="227"/>
      <c r="X37" s="227"/>
      <c r="Z37" s="227"/>
      <c r="AA37" s="227"/>
      <c r="AB37" s="227"/>
      <c r="AC37" s="227"/>
      <c r="AD37" s="227"/>
      <c r="AE37" s="227"/>
      <c r="AF37" s="227"/>
      <c r="AH37" s="227"/>
      <c r="AI37" s="227"/>
      <c r="AJ37" s="227"/>
      <c r="AK37" s="227"/>
      <c r="AL37" s="227"/>
      <c r="AM37" s="227"/>
      <c r="AN37" s="227"/>
      <c r="AP37" s="227"/>
      <c r="AQ37" s="227"/>
      <c r="AR37" s="227"/>
      <c r="AS37" s="227"/>
      <c r="AT37" s="227"/>
      <c r="AU37" s="227"/>
      <c r="AV37" s="227"/>
      <c r="AX37" s="227"/>
      <c r="AY37" s="227"/>
      <c r="AZ37" s="227"/>
      <c r="BA37" s="227"/>
      <c r="BB37" s="227"/>
      <c r="BC37" s="227"/>
      <c r="BD37" s="227"/>
      <c r="BF37" s="227"/>
      <c r="BG37" s="227"/>
      <c r="BH37" s="227"/>
      <c r="BI37" s="227"/>
      <c r="BJ37" s="227"/>
      <c r="BK37" s="227"/>
      <c r="BL37" s="227"/>
      <c r="BN37" s="227"/>
      <c r="BO37" s="227"/>
      <c r="BP37" s="227"/>
      <c r="BQ37" s="227"/>
      <c r="BR37" s="227"/>
      <c r="BS37" s="227"/>
      <c r="BT37" s="227"/>
    </row>
    <row r="38" spans="1:72" x14ac:dyDescent="0.25">
      <c r="A38" s="189" t="s">
        <v>190</v>
      </c>
      <c r="B38" s="228" t="s">
        <v>309</v>
      </c>
      <c r="C38" s="228" t="s">
        <v>310</v>
      </c>
      <c r="D38" s="228" t="s">
        <v>311</v>
      </c>
      <c r="E38" s="228" t="str">
        <f>E20</f>
        <v>Other</v>
      </c>
      <c r="F38" s="228" t="s">
        <v>313</v>
      </c>
      <c r="G38" s="228" t="s">
        <v>314</v>
      </c>
      <c r="H38" s="228" t="s">
        <v>59</v>
      </c>
      <c r="J38" s="228" t="s">
        <v>309</v>
      </c>
      <c r="K38" s="228" t="s">
        <v>310</v>
      </c>
      <c r="L38" s="228" t="s">
        <v>311</v>
      </c>
      <c r="M38" s="228" t="str">
        <f>M20</f>
        <v>Other</v>
      </c>
      <c r="N38" s="228" t="s">
        <v>313</v>
      </c>
      <c r="O38" s="228" t="s">
        <v>314</v>
      </c>
      <c r="P38" s="228" t="str">
        <f>P26</f>
        <v>Cadence</v>
      </c>
      <c r="R38" s="228" t="s">
        <v>309</v>
      </c>
      <c r="S38" s="228" t="s">
        <v>310</v>
      </c>
      <c r="T38" s="228" t="s">
        <v>311</v>
      </c>
      <c r="U38" s="228" t="str">
        <f>U20</f>
        <v>Other</v>
      </c>
      <c r="V38" s="228" t="s">
        <v>313</v>
      </c>
      <c r="W38" s="228" t="s">
        <v>314</v>
      </c>
      <c r="X38" s="228" t="str">
        <f>X20</f>
        <v>St. Rose</v>
      </c>
      <c r="Z38" s="228" t="s">
        <v>309</v>
      </c>
      <c r="AA38" s="228" t="s">
        <v>310</v>
      </c>
      <c r="AB38" s="228" t="s">
        <v>311</v>
      </c>
      <c r="AC38" s="228" t="str">
        <f>AC20</f>
        <v>Other</v>
      </c>
      <c r="AD38" s="228" t="s">
        <v>313</v>
      </c>
      <c r="AE38" s="228" t="s">
        <v>314</v>
      </c>
      <c r="AF38" s="228" t="str">
        <f>AF26</f>
        <v>Inspirada</v>
      </c>
      <c r="AH38" s="228" t="s">
        <v>309</v>
      </c>
      <c r="AI38" s="228" t="s">
        <v>310</v>
      </c>
      <c r="AJ38" s="228" t="s">
        <v>311</v>
      </c>
      <c r="AK38" s="228" t="str">
        <f>AK20</f>
        <v>Other</v>
      </c>
      <c r="AL38" s="228" t="s">
        <v>313</v>
      </c>
      <c r="AM38" s="228" t="s">
        <v>314</v>
      </c>
      <c r="AN38" s="228" t="str">
        <f>AN26</f>
        <v>Sloan</v>
      </c>
      <c r="AP38" s="228" t="s">
        <v>309</v>
      </c>
      <c r="AQ38" s="228" t="s">
        <v>310</v>
      </c>
      <c r="AR38" s="228" t="s">
        <v>311</v>
      </c>
      <c r="AS38" s="228" t="str">
        <f>AS20</f>
        <v>Other</v>
      </c>
      <c r="AT38" s="228" t="s">
        <v>313</v>
      </c>
      <c r="AU38" s="228" t="s">
        <v>314</v>
      </c>
      <c r="AV38" s="228" t="str">
        <f>AV26</f>
        <v>Springs</v>
      </c>
      <c r="AX38" s="228" t="s">
        <v>309</v>
      </c>
      <c r="AY38" s="228" t="s">
        <v>310</v>
      </c>
      <c r="AZ38" s="228" t="s">
        <v>311</v>
      </c>
      <c r="BA38" s="228" t="str">
        <f>BA20</f>
        <v>Other</v>
      </c>
      <c r="BB38" s="228" t="s">
        <v>313</v>
      </c>
      <c r="BC38" s="228" t="s">
        <v>314</v>
      </c>
      <c r="BD38" s="228" t="str">
        <f>BD26</f>
        <v>Virtual</v>
      </c>
      <c r="BF38" s="228" t="s">
        <v>309</v>
      </c>
      <c r="BG38" s="228" t="s">
        <v>310</v>
      </c>
      <c r="BH38" s="228" t="s">
        <v>311</v>
      </c>
      <c r="BI38" s="228" t="str">
        <f>BI20</f>
        <v>Other</v>
      </c>
      <c r="BJ38" s="228" t="s">
        <v>313</v>
      </c>
      <c r="BK38" s="228" t="s">
        <v>314</v>
      </c>
      <c r="BL38" s="228" t="str">
        <f>BL26</f>
        <v>Central</v>
      </c>
      <c r="BN38" s="228" t="s">
        <v>309</v>
      </c>
      <c r="BO38" s="228" t="s">
        <v>310</v>
      </c>
      <c r="BP38" s="228" t="s">
        <v>311</v>
      </c>
      <c r="BQ38" s="228" t="str">
        <f>BQ20</f>
        <v>Other</v>
      </c>
      <c r="BR38" s="228" t="s">
        <v>313</v>
      </c>
      <c r="BS38" s="228" t="s">
        <v>314</v>
      </c>
      <c r="BT38" s="228" t="str">
        <f>BT26</f>
        <v>System</v>
      </c>
    </row>
    <row r="39" spans="1:72" x14ac:dyDescent="0.25">
      <c r="A39" s="191" t="s">
        <v>53</v>
      </c>
      <c r="B39" s="232">
        <v>1</v>
      </c>
      <c r="C39" s="233"/>
      <c r="D39" s="233"/>
      <c r="E39" s="233"/>
      <c r="F39" s="233"/>
      <c r="G39" s="233"/>
      <c r="H39" s="232">
        <f t="shared" ref="H39:H60" si="23">SUM(B39:G39)</f>
        <v>1</v>
      </c>
      <c r="J39" s="232">
        <v>1</v>
      </c>
      <c r="K39" s="233"/>
      <c r="L39" s="233"/>
      <c r="M39" s="233"/>
      <c r="N39" s="233"/>
      <c r="O39" s="233"/>
      <c r="P39" s="232">
        <f t="shared" ref="P39:P60" si="24">SUM(J39:O39)</f>
        <v>1</v>
      </c>
      <c r="R39" s="232">
        <v>1</v>
      </c>
      <c r="S39" s="233"/>
      <c r="T39" s="233"/>
      <c r="U39" s="233"/>
      <c r="V39" s="233"/>
      <c r="W39" s="233"/>
      <c r="X39" s="232">
        <f t="shared" ref="X39:X60" si="25">SUM(R39:W39)</f>
        <v>1</v>
      </c>
      <c r="Z39" s="232">
        <v>1</v>
      </c>
      <c r="AA39" s="233"/>
      <c r="AB39" s="233"/>
      <c r="AC39" s="233"/>
      <c r="AD39" s="233"/>
      <c r="AE39" s="233"/>
      <c r="AF39" s="232">
        <f t="shared" ref="AF39:AF60" si="26">SUM(Z39:AE39)</f>
        <v>1</v>
      </c>
      <c r="AH39" s="232">
        <v>1</v>
      </c>
      <c r="AI39" s="233"/>
      <c r="AJ39" s="233"/>
      <c r="AK39" s="233"/>
      <c r="AL39" s="233"/>
      <c r="AM39" s="233"/>
      <c r="AN39" s="232">
        <f t="shared" ref="AN39:AN60" si="27">SUM(AH39:AM39)</f>
        <v>1</v>
      </c>
      <c r="AP39" s="232">
        <v>1</v>
      </c>
      <c r="AQ39" s="233"/>
      <c r="AR39" s="233"/>
      <c r="AS39" s="233"/>
      <c r="AT39" s="233"/>
      <c r="AU39" s="233"/>
      <c r="AV39" s="232">
        <f t="shared" ref="AV39:AV60" si="28">SUM(AP39:AU39)</f>
        <v>1</v>
      </c>
      <c r="AX39" s="232">
        <v>0</v>
      </c>
      <c r="AY39" s="233"/>
      <c r="AZ39" s="233"/>
      <c r="BA39" s="233"/>
      <c r="BB39" s="233"/>
      <c r="BC39" s="233"/>
      <c r="BD39" s="232">
        <f t="shared" ref="BD39:BD60" si="29">SUM(AX39:BC39)</f>
        <v>0</v>
      </c>
      <c r="BF39" s="232"/>
      <c r="BG39" s="233"/>
      <c r="BH39" s="233"/>
      <c r="BI39" s="233"/>
      <c r="BJ39" s="233"/>
      <c r="BK39" s="233"/>
      <c r="BL39" s="232">
        <f t="shared" ref="BL39:BL60" si="30">SUM(BF39:BK39)</f>
        <v>0</v>
      </c>
      <c r="BN39" s="229">
        <f>B39+J39+R39+Z39+AH39+AP39+AX39+BF39</f>
        <v>6</v>
      </c>
      <c r="BO39" s="229">
        <f t="shared" ref="BO39:BS54" si="31">C39+K39+S39+AA39+AI39+AQ39+AY39+BG39</f>
        <v>0</v>
      </c>
      <c r="BP39" s="229">
        <f t="shared" si="31"/>
        <v>0</v>
      </c>
      <c r="BQ39" s="229">
        <f t="shared" si="31"/>
        <v>0</v>
      </c>
      <c r="BR39" s="229">
        <f t="shared" si="31"/>
        <v>0</v>
      </c>
      <c r="BS39" s="229">
        <f t="shared" si="31"/>
        <v>0</v>
      </c>
      <c r="BT39" s="232">
        <f t="shared" ref="BT39:BT49" si="32">SUM(BN39:BS39)</f>
        <v>6</v>
      </c>
    </row>
    <row r="40" spans="1:72" x14ac:dyDescent="0.25">
      <c r="A40" s="191" t="s">
        <v>191</v>
      </c>
      <c r="B40" s="232">
        <v>3</v>
      </c>
      <c r="C40" s="233"/>
      <c r="D40" s="233"/>
      <c r="E40" s="233"/>
      <c r="F40" s="233"/>
      <c r="G40" s="233"/>
      <c r="H40" s="232">
        <f t="shared" si="23"/>
        <v>3</v>
      </c>
      <c r="J40" s="232">
        <v>6</v>
      </c>
      <c r="K40" s="233"/>
      <c r="L40" s="233"/>
      <c r="M40" s="233"/>
      <c r="N40" s="233"/>
      <c r="O40" s="233"/>
      <c r="P40" s="232">
        <f t="shared" si="24"/>
        <v>6</v>
      </c>
      <c r="R40" s="232">
        <v>3</v>
      </c>
      <c r="S40" s="233"/>
      <c r="T40" s="233"/>
      <c r="U40" s="233"/>
      <c r="V40" s="233"/>
      <c r="W40" s="233"/>
      <c r="X40" s="232">
        <f t="shared" si="25"/>
        <v>3</v>
      </c>
      <c r="Z40" s="232">
        <v>2</v>
      </c>
      <c r="AA40" s="233"/>
      <c r="AB40" s="233"/>
      <c r="AC40" s="233"/>
      <c r="AD40" s="233"/>
      <c r="AE40" s="233"/>
      <c r="AF40" s="232">
        <f t="shared" si="26"/>
        <v>2</v>
      </c>
      <c r="AH40" s="232">
        <v>4</v>
      </c>
      <c r="AI40" s="233"/>
      <c r="AJ40" s="233"/>
      <c r="AK40" s="233"/>
      <c r="AL40" s="233"/>
      <c r="AM40" s="233"/>
      <c r="AN40" s="232">
        <f t="shared" si="27"/>
        <v>4</v>
      </c>
      <c r="AP40" s="232">
        <v>1</v>
      </c>
      <c r="AQ40" s="233"/>
      <c r="AR40" s="233"/>
      <c r="AS40" s="233"/>
      <c r="AT40" s="233"/>
      <c r="AU40" s="233"/>
      <c r="AV40" s="232">
        <f t="shared" si="28"/>
        <v>1</v>
      </c>
      <c r="AX40" s="232">
        <v>0</v>
      </c>
      <c r="AY40" s="233"/>
      <c r="AZ40" s="233"/>
      <c r="BA40" s="233"/>
      <c r="BB40" s="233"/>
      <c r="BC40" s="233"/>
      <c r="BD40" s="232">
        <f t="shared" si="29"/>
        <v>0</v>
      </c>
      <c r="BF40" s="232">
        <v>1</v>
      </c>
      <c r="BG40" s="233"/>
      <c r="BH40" s="233"/>
      <c r="BI40" s="233"/>
      <c r="BJ40" s="233"/>
      <c r="BK40" s="233"/>
      <c r="BL40" s="232">
        <f t="shared" si="30"/>
        <v>1</v>
      </c>
      <c r="BN40" s="229">
        <f t="shared" ref="BN40:BS60" si="33">B40+J40+R40+Z40+AH40+AP40+AX40+BF40</f>
        <v>20</v>
      </c>
      <c r="BO40" s="229">
        <f t="shared" si="31"/>
        <v>0</v>
      </c>
      <c r="BP40" s="229">
        <f t="shared" si="31"/>
        <v>0</v>
      </c>
      <c r="BQ40" s="229">
        <f t="shared" si="31"/>
        <v>0</v>
      </c>
      <c r="BR40" s="229">
        <f t="shared" si="31"/>
        <v>0</v>
      </c>
      <c r="BS40" s="229">
        <f t="shared" si="31"/>
        <v>0</v>
      </c>
      <c r="BT40" s="232">
        <f t="shared" si="32"/>
        <v>20</v>
      </c>
    </row>
    <row r="41" spans="1:72" x14ac:dyDescent="0.25">
      <c r="A41" s="194" t="s">
        <v>192</v>
      </c>
      <c r="B41" s="232"/>
      <c r="C41" s="233"/>
      <c r="D41" s="233"/>
      <c r="E41" s="233"/>
      <c r="F41" s="233"/>
      <c r="G41" s="233"/>
      <c r="H41" s="232">
        <f t="shared" si="23"/>
        <v>0</v>
      </c>
      <c r="J41" s="232">
        <v>1</v>
      </c>
      <c r="K41" s="233"/>
      <c r="L41" s="233"/>
      <c r="M41" s="233"/>
      <c r="N41" s="233"/>
      <c r="O41" s="233"/>
      <c r="P41" s="232">
        <f t="shared" si="24"/>
        <v>1</v>
      </c>
      <c r="R41" s="232"/>
      <c r="S41" s="233"/>
      <c r="T41" s="233"/>
      <c r="U41" s="233"/>
      <c r="V41" s="233"/>
      <c r="W41" s="233"/>
      <c r="X41" s="232">
        <f t="shared" si="25"/>
        <v>0</v>
      </c>
      <c r="Z41" s="232"/>
      <c r="AA41" s="233"/>
      <c r="AB41" s="233"/>
      <c r="AC41" s="233"/>
      <c r="AD41" s="233"/>
      <c r="AE41" s="233"/>
      <c r="AF41" s="232">
        <f t="shared" si="26"/>
        <v>0</v>
      </c>
      <c r="AH41" s="232"/>
      <c r="AI41" s="233"/>
      <c r="AJ41" s="233"/>
      <c r="AK41" s="233"/>
      <c r="AL41" s="233"/>
      <c r="AM41" s="233"/>
      <c r="AN41" s="232">
        <f t="shared" si="27"/>
        <v>0</v>
      </c>
      <c r="AP41" s="232">
        <v>1</v>
      </c>
      <c r="AQ41" s="233"/>
      <c r="AR41" s="233"/>
      <c r="AS41" s="233"/>
      <c r="AT41" s="233"/>
      <c r="AU41" s="233"/>
      <c r="AV41" s="232">
        <f t="shared" si="28"/>
        <v>1</v>
      </c>
      <c r="AX41" s="232">
        <v>0</v>
      </c>
      <c r="AY41" s="233"/>
      <c r="AZ41" s="233"/>
      <c r="BA41" s="233"/>
      <c r="BB41" s="233"/>
      <c r="BC41" s="233"/>
      <c r="BD41" s="232">
        <f t="shared" si="29"/>
        <v>0</v>
      </c>
      <c r="BF41" s="232"/>
      <c r="BG41" s="233"/>
      <c r="BH41" s="233"/>
      <c r="BI41" s="233"/>
      <c r="BJ41" s="233"/>
      <c r="BK41" s="233"/>
      <c r="BL41" s="232">
        <f t="shared" si="30"/>
        <v>0</v>
      </c>
      <c r="BN41" s="229">
        <f t="shared" si="33"/>
        <v>2</v>
      </c>
      <c r="BO41" s="229">
        <f t="shared" si="31"/>
        <v>0</v>
      </c>
      <c r="BP41" s="229">
        <f t="shared" si="31"/>
        <v>0</v>
      </c>
      <c r="BQ41" s="229">
        <f t="shared" si="31"/>
        <v>0</v>
      </c>
      <c r="BR41" s="229">
        <f t="shared" si="31"/>
        <v>0</v>
      </c>
      <c r="BS41" s="229">
        <f t="shared" si="31"/>
        <v>0</v>
      </c>
      <c r="BT41" s="232">
        <f t="shared" si="32"/>
        <v>2</v>
      </c>
    </row>
    <row r="42" spans="1:72" x14ac:dyDescent="0.25">
      <c r="A42" s="191" t="s">
        <v>193</v>
      </c>
      <c r="B42" s="232"/>
      <c r="C42" s="233"/>
      <c r="D42" s="233"/>
      <c r="E42" s="233"/>
      <c r="F42" s="233"/>
      <c r="G42" s="233"/>
      <c r="H42" s="232">
        <f t="shared" si="23"/>
        <v>0</v>
      </c>
      <c r="J42" s="233">
        <v>4</v>
      </c>
      <c r="K42" s="233"/>
      <c r="L42" s="233"/>
      <c r="M42" s="233"/>
      <c r="N42" s="233"/>
      <c r="O42" s="233"/>
      <c r="P42" s="232">
        <f t="shared" si="24"/>
        <v>4</v>
      </c>
      <c r="R42" s="232">
        <v>1</v>
      </c>
      <c r="S42" s="233"/>
      <c r="T42" s="233"/>
      <c r="U42" s="233"/>
      <c r="V42" s="233"/>
      <c r="W42" s="233"/>
      <c r="X42" s="232">
        <f t="shared" si="25"/>
        <v>1</v>
      </c>
      <c r="Z42" s="232"/>
      <c r="AA42" s="233"/>
      <c r="AB42" s="233"/>
      <c r="AC42" s="233"/>
      <c r="AD42" s="233"/>
      <c r="AE42" s="233"/>
      <c r="AF42" s="232">
        <f t="shared" si="26"/>
        <v>0</v>
      </c>
      <c r="AH42" s="232">
        <v>3</v>
      </c>
      <c r="AI42" s="233"/>
      <c r="AJ42" s="233"/>
      <c r="AK42" s="233"/>
      <c r="AL42" s="233"/>
      <c r="AM42" s="233"/>
      <c r="AN42" s="232">
        <f t="shared" si="27"/>
        <v>3</v>
      </c>
      <c r="AP42" s="232"/>
      <c r="AQ42" s="233"/>
      <c r="AR42" s="233"/>
      <c r="AS42" s="233"/>
      <c r="AT42" s="233"/>
      <c r="AU42" s="233"/>
      <c r="AV42" s="232">
        <f t="shared" si="28"/>
        <v>0</v>
      </c>
      <c r="AX42" s="232"/>
      <c r="AY42" s="233"/>
      <c r="AZ42" s="233"/>
      <c r="BA42" s="233"/>
      <c r="BB42" s="233"/>
      <c r="BC42" s="233"/>
      <c r="BD42" s="232">
        <f t="shared" si="29"/>
        <v>0</v>
      </c>
      <c r="BF42" s="232"/>
      <c r="BG42" s="233"/>
      <c r="BH42" s="233"/>
      <c r="BI42" s="233"/>
      <c r="BJ42" s="233"/>
      <c r="BK42" s="233"/>
      <c r="BL42" s="232">
        <f t="shared" si="30"/>
        <v>0</v>
      </c>
      <c r="BN42" s="229">
        <f t="shared" si="33"/>
        <v>8</v>
      </c>
      <c r="BO42" s="229">
        <f t="shared" si="31"/>
        <v>0</v>
      </c>
      <c r="BP42" s="229">
        <f t="shared" si="31"/>
        <v>0</v>
      </c>
      <c r="BQ42" s="229">
        <f t="shared" si="31"/>
        <v>0</v>
      </c>
      <c r="BR42" s="229">
        <f t="shared" si="31"/>
        <v>0</v>
      </c>
      <c r="BS42" s="229">
        <f t="shared" si="31"/>
        <v>0</v>
      </c>
      <c r="BT42" s="232">
        <f t="shared" si="32"/>
        <v>8</v>
      </c>
    </row>
    <row r="43" spans="1:72" x14ac:dyDescent="0.25">
      <c r="A43" s="191" t="s">
        <v>194</v>
      </c>
      <c r="B43" s="232">
        <v>1</v>
      </c>
      <c r="C43" s="233"/>
      <c r="D43" s="233"/>
      <c r="E43" s="233"/>
      <c r="F43" s="233">
        <v>1</v>
      </c>
      <c r="G43" s="233"/>
      <c r="H43" s="232">
        <f t="shared" si="23"/>
        <v>2</v>
      </c>
      <c r="J43" s="233">
        <v>3</v>
      </c>
      <c r="K43" s="233"/>
      <c r="L43" s="233"/>
      <c r="M43" s="233"/>
      <c r="N43" s="233"/>
      <c r="O43" s="233"/>
      <c r="P43" s="232">
        <f t="shared" si="24"/>
        <v>3</v>
      </c>
      <c r="R43" s="232">
        <v>1</v>
      </c>
      <c r="S43" s="233"/>
      <c r="T43" s="233"/>
      <c r="U43" s="233"/>
      <c r="V43" s="233"/>
      <c r="W43" s="233"/>
      <c r="X43" s="232">
        <f t="shared" si="25"/>
        <v>1</v>
      </c>
      <c r="Z43" s="232">
        <v>3</v>
      </c>
      <c r="AA43" s="233"/>
      <c r="AB43" s="233"/>
      <c r="AC43" s="233"/>
      <c r="AD43" s="233"/>
      <c r="AE43" s="233"/>
      <c r="AF43" s="232">
        <f t="shared" si="26"/>
        <v>3</v>
      </c>
      <c r="AH43" s="232">
        <v>2</v>
      </c>
      <c r="AI43" s="233"/>
      <c r="AJ43" s="233"/>
      <c r="AK43" s="233"/>
      <c r="AL43" s="233"/>
      <c r="AM43" s="233"/>
      <c r="AN43" s="232">
        <f t="shared" si="27"/>
        <v>2</v>
      </c>
      <c r="AP43" s="313">
        <v>1</v>
      </c>
      <c r="AQ43" s="233"/>
      <c r="AR43" s="233"/>
      <c r="AS43" s="233"/>
      <c r="AT43" s="233">
        <v>0</v>
      </c>
      <c r="AU43" s="233"/>
      <c r="AV43" s="232">
        <f t="shared" si="28"/>
        <v>1</v>
      </c>
      <c r="AX43" s="232">
        <v>1</v>
      </c>
      <c r="AY43" s="233"/>
      <c r="AZ43" s="233"/>
      <c r="BA43" s="233"/>
      <c r="BB43" s="233">
        <v>0</v>
      </c>
      <c r="BC43" s="233"/>
      <c r="BD43" s="232">
        <f t="shared" si="29"/>
        <v>1</v>
      </c>
      <c r="BF43" s="232">
        <v>0</v>
      </c>
      <c r="BG43" s="233"/>
      <c r="BH43" s="233"/>
      <c r="BI43" s="233"/>
      <c r="BJ43" s="233">
        <v>1</v>
      </c>
      <c r="BK43" s="233"/>
      <c r="BL43" s="232">
        <f t="shared" si="30"/>
        <v>1</v>
      </c>
      <c r="BN43" s="229">
        <f t="shared" si="33"/>
        <v>12</v>
      </c>
      <c r="BO43" s="229">
        <f t="shared" si="31"/>
        <v>0</v>
      </c>
      <c r="BP43" s="229">
        <f t="shared" si="31"/>
        <v>0</v>
      </c>
      <c r="BQ43" s="229">
        <f t="shared" si="31"/>
        <v>0</v>
      </c>
      <c r="BR43" s="229">
        <f t="shared" si="31"/>
        <v>2</v>
      </c>
      <c r="BS43" s="229">
        <f t="shared" si="31"/>
        <v>0</v>
      </c>
      <c r="BT43" s="232">
        <f t="shared" si="32"/>
        <v>14</v>
      </c>
    </row>
    <row r="44" spans="1:72" x14ac:dyDescent="0.25">
      <c r="A44" s="191" t="s">
        <v>195</v>
      </c>
      <c r="B44" s="232"/>
      <c r="C44" s="233"/>
      <c r="D44" s="233"/>
      <c r="E44" s="233"/>
      <c r="F44" s="233"/>
      <c r="G44" s="233"/>
      <c r="H44" s="232">
        <f t="shared" si="23"/>
        <v>0</v>
      </c>
      <c r="J44" s="233">
        <v>5</v>
      </c>
      <c r="K44" s="233"/>
      <c r="L44" s="233"/>
      <c r="M44" s="233"/>
      <c r="N44" s="233"/>
      <c r="O44" s="233"/>
      <c r="P44" s="232">
        <f t="shared" si="24"/>
        <v>5</v>
      </c>
      <c r="R44" s="232"/>
      <c r="S44" s="233"/>
      <c r="T44" s="233"/>
      <c r="U44" s="233"/>
      <c r="V44" s="233"/>
      <c r="W44" s="233"/>
      <c r="X44" s="232">
        <f t="shared" si="25"/>
        <v>0</v>
      </c>
      <c r="Z44" s="232"/>
      <c r="AA44" s="233"/>
      <c r="AB44" s="233"/>
      <c r="AC44" s="233"/>
      <c r="AD44" s="233"/>
      <c r="AE44" s="233"/>
      <c r="AF44" s="232">
        <f t="shared" si="26"/>
        <v>0</v>
      </c>
      <c r="AH44" s="232">
        <v>4</v>
      </c>
      <c r="AI44" s="233"/>
      <c r="AJ44" s="233"/>
      <c r="AK44" s="233"/>
      <c r="AL44" s="233"/>
      <c r="AM44" s="233"/>
      <c r="AN44" s="232">
        <f t="shared" si="27"/>
        <v>4</v>
      </c>
      <c r="AP44" s="232"/>
      <c r="AQ44" s="233"/>
      <c r="AR44" s="233"/>
      <c r="AS44" s="233"/>
      <c r="AT44" s="233"/>
      <c r="AU44" s="233"/>
      <c r="AV44" s="232">
        <f t="shared" si="28"/>
        <v>0</v>
      </c>
      <c r="AX44" s="232"/>
      <c r="AY44" s="233"/>
      <c r="AZ44" s="233"/>
      <c r="BA44" s="233"/>
      <c r="BB44" s="233"/>
      <c r="BC44" s="233"/>
      <c r="BD44" s="232">
        <f t="shared" si="29"/>
        <v>0</v>
      </c>
      <c r="BF44" s="232"/>
      <c r="BG44" s="233"/>
      <c r="BH44" s="233"/>
      <c r="BI44" s="233"/>
      <c r="BJ44" s="233"/>
      <c r="BK44" s="233"/>
      <c r="BL44" s="232">
        <f t="shared" si="30"/>
        <v>0</v>
      </c>
      <c r="BN44" s="229">
        <f t="shared" si="33"/>
        <v>9</v>
      </c>
      <c r="BO44" s="229">
        <f t="shared" si="31"/>
        <v>0</v>
      </c>
      <c r="BP44" s="229">
        <f t="shared" si="31"/>
        <v>0</v>
      </c>
      <c r="BQ44" s="229">
        <f t="shared" si="31"/>
        <v>0</v>
      </c>
      <c r="BR44" s="229">
        <f t="shared" si="31"/>
        <v>0</v>
      </c>
      <c r="BS44" s="229">
        <f t="shared" si="31"/>
        <v>0</v>
      </c>
      <c r="BT44" s="232">
        <f t="shared" si="32"/>
        <v>9</v>
      </c>
    </row>
    <row r="45" spans="1:72" x14ac:dyDescent="0.25">
      <c r="A45" s="191" t="s">
        <v>196</v>
      </c>
      <c r="B45" s="232"/>
      <c r="C45" s="233"/>
      <c r="D45" s="233"/>
      <c r="E45" s="233"/>
      <c r="F45" s="233"/>
      <c r="G45" s="233"/>
      <c r="H45" s="232">
        <f t="shared" si="23"/>
        <v>0</v>
      </c>
      <c r="J45" s="232">
        <v>1</v>
      </c>
      <c r="K45" s="233"/>
      <c r="L45" s="233"/>
      <c r="M45" s="233"/>
      <c r="N45" s="233"/>
      <c r="O45" s="233"/>
      <c r="P45" s="232">
        <f t="shared" si="24"/>
        <v>1</v>
      </c>
      <c r="R45" s="232"/>
      <c r="S45" s="233"/>
      <c r="T45" s="233"/>
      <c r="U45" s="233"/>
      <c r="V45" s="233"/>
      <c r="W45" s="233"/>
      <c r="X45" s="232">
        <f t="shared" si="25"/>
        <v>0</v>
      </c>
      <c r="Z45" s="232"/>
      <c r="AA45" s="233"/>
      <c r="AB45" s="233"/>
      <c r="AC45" s="233"/>
      <c r="AD45" s="233"/>
      <c r="AE45" s="233"/>
      <c r="AF45" s="232">
        <f t="shared" si="26"/>
        <v>0</v>
      </c>
      <c r="AH45" s="232"/>
      <c r="AI45" s="233"/>
      <c r="AJ45" s="233"/>
      <c r="AK45" s="233"/>
      <c r="AL45" s="233"/>
      <c r="AM45" s="233"/>
      <c r="AN45" s="232">
        <f t="shared" si="27"/>
        <v>0</v>
      </c>
      <c r="AP45" s="232"/>
      <c r="AQ45" s="233"/>
      <c r="AR45" s="233"/>
      <c r="AS45" s="233"/>
      <c r="AT45" s="233"/>
      <c r="AU45" s="233"/>
      <c r="AV45" s="232">
        <f t="shared" si="28"/>
        <v>0</v>
      </c>
      <c r="AX45" s="232"/>
      <c r="AY45" s="233"/>
      <c r="AZ45" s="233"/>
      <c r="BA45" s="233"/>
      <c r="BB45" s="233"/>
      <c r="BC45" s="233"/>
      <c r="BD45" s="232">
        <f t="shared" si="29"/>
        <v>0</v>
      </c>
      <c r="BF45" s="232"/>
      <c r="BG45" s="233"/>
      <c r="BH45" s="233"/>
      <c r="BI45" s="233"/>
      <c r="BJ45" s="233"/>
      <c r="BK45" s="233"/>
      <c r="BL45" s="232">
        <f t="shared" si="30"/>
        <v>0</v>
      </c>
      <c r="BN45" s="229">
        <f t="shared" si="33"/>
        <v>1</v>
      </c>
      <c r="BO45" s="229">
        <f t="shared" si="31"/>
        <v>0</v>
      </c>
      <c r="BP45" s="229">
        <f t="shared" si="31"/>
        <v>0</v>
      </c>
      <c r="BQ45" s="229">
        <f t="shared" si="31"/>
        <v>0</v>
      </c>
      <c r="BR45" s="229">
        <f t="shared" si="31"/>
        <v>0</v>
      </c>
      <c r="BS45" s="229">
        <f t="shared" si="31"/>
        <v>0</v>
      </c>
      <c r="BT45" s="232">
        <f t="shared" si="32"/>
        <v>1</v>
      </c>
    </row>
    <row r="46" spans="1:72" x14ac:dyDescent="0.25">
      <c r="A46" s="191" t="s">
        <v>197</v>
      </c>
      <c r="B46" s="232">
        <v>2</v>
      </c>
      <c r="C46" s="233"/>
      <c r="D46" s="233"/>
      <c r="E46" s="233"/>
      <c r="F46" s="233"/>
      <c r="G46" s="233"/>
      <c r="H46" s="232">
        <f t="shared" si="23"/>
        <v>2</v>
      </c>
      <c r="J46" s="232">
        <v>4</v>
      </c>
      <c r="K46" s="233"/>
      <c r="L46" s="233"/>
      <c r="M46" s="233"/>
      <c r="N46" s="233"/>
      <c r="O46" s="233"/>
      <c r="P46" s="232">
        <f t="shared" si="24"/>
        <v>4</v>
      </c>
      <c r="R46" s="232">
        <v>1</v>
      </c>
      <c r="S46" s="233"/>
      <c r="T46" s="233"/>
      <c r="U46" s="233"/>
      <c r="V46" s="233"/>
      <c r="W46" s="233"/>
      <c r="X46" s="232">
        <f t="shared" si="25"/>
        <v>1</v>
      </c>
      <c r="Z46" s="232">
        <v>1</v>
      </c>
      <c r="AA46" s="233"/>
      <c r="AB46" s="233"/>
      <c r="AC46" s="233"/>
      <c r="AD46" s="233"/>
      <c r="AE46" s="233"/>
      <c r="AF46" s="232">
        <f t="shared" si="26"/>
        <v>1</v>
      </c>
      <c r="AH46" s="232">
        <v>3</v>
      </c>
      <c r="AI46" s="233"/>
      <c r="AJ46" s="233"/>
      <c r="AK46" s="233"/>
      <c r="AL46" s="233"/>
      <c r="AM46" s="233"/>
      <c r="AN46" s="232">
        <f t="shared" si="27"/>
        <v>3</v>
      </c>
      <c r="AP46" s="232">
        <v>1</v>
      </c>
      <c r="AQ46" s="233"/>
      <c r="AR46" s="233"/>
      <c r="AS46" s="233"/>
      <c r="AT46" s="233"/>
      <c r="AU46" s="233"/>
      <c r="AV46" s="232">
        <f t="shared" si="28"/>
        <v>1</v>
      </c>
      <c r="AX46" s="232">
        <v>0</v>
      </c>
      <c r="AY46" s="233"/>
      <c r="AZ46" s="233"/>
      <c r="BA46" s="233"/>
      <c r="BB46" s="233"/>
      <c r="BC46" s="233"/>
      <c r="BD46" s="232">
        <f t="shared" si="29"/>
        <v>0</v>
      </c>
      <c r="BF46" s="232">
        <v>1</v>
      </c>
      <c r="BG46" s="233"/>
      <c r="BH46" s="233"/>
      <c r="BI46" s="233"/>
      <c r="BJ46" s="233"/>
      <c r="BK46" s="233"/>
      <c r="BL46" s="232">
        <f t="shared" si="30"/>
        <v>1</v>
      </c>
      <c r="BN46" s="229">
        <f t="shared" si="33"/>
        <v>13</v>
      </c>
      <c r="BO46" s="229">
        <f t="shared" si="31"/>
        <v>0</v>
      </c>
      <c r="BP46" s="229">
        <f t="shared" si="31"/>
        <v>0</v>
      </c>
      <c r="BQ46" s="229">
        <f t="shared" si="31"/>
        <v>0</v>
      </c>
      <c r="BR46" s="229">
        <f t="shared" si="31"/>
        <v>0</v>
      </c>
      <c r="BS46" s="229">
        <f t="shared" si="31"/>
        <v>0</v>
      </c>
      <c r="BT46" s="232">
        <f t="shared" si="32"/>
        <v>13</v>
      </c>
    </row>
    <row r="47" spans="1:72" x14ac:dyDescent="0.25">
      <c r="A47" s="191" t="s">
        <v>198</v>
      </c>
      <c r="B47" s="232">
        <v>1</v>
      </c>
      <c r="C47" s="233"/>
      <c r="D47" s="233"/>
      <c r="E47" s="233"/>
      <c r="F47" s="233"/>
      <c r="G47" s="233"/>
      <c r="H47" s="232">
        <f t="shared" si="23"/>
        <v>1</v>
      </c>
      <c r="J47" s="232">
        <v>1</v>
      </c>
      <c r="K47" s="233"/>
      <c r="L47" s="233"/>
      <c r="M47" s="233"/>
      <c r="N47" s="233"/>
      <c r="O47" s="233"/>
      <c r="P47" s="232">
        <f t="shared" si="24"/>
        <v>1</v>
      </c>
      <c r="R47" s="232">
        <v>1</v>
      </c>
      <c r="S47" s="233"/>
      <c r="T47" s="233"/>
      <c r="U47" s="233"/>
      <c r="V47" s="233"/>
      <c r="W47" s="233"/>
      <c r="X47" s="232">
        <f t="shared" si="25"/>
        <v>1</v>
      </c>
      <c r="Z47" s="232">
        <v>1</v>
      </c>
      <c r="AA47" s="233"/>
      <c r="AB47" s="233"/>
      <c r="AC47" s="233"/>
      <c r="AD47" s="233"/>
      <c r="AE47" s="233"/>
      <c r="AF47" s="232">
        <f t="shared" si="26"/>
        <v>1</v>
      </c>
      <c r="AH47" s="232">
        <v>2</v>
      </c>
      <c r="AI47" s="233"/>
      <c r="AJ47" s="233"/>
      <c r="AK47" s="233"/>
      <c r="AL47" s="233"/>
      <c r="AM47" s="233"/>
      <c r="AN47" s="232">
        <f t="shared" si="27"/>
        <v>2</v>
      </c>
      <c r="AP47" s="313">
        <v>1</v>
      </c>
      <c r="AQ47" s="233"/>
      <c r="AR47" s="233"/>
      <c r="AS47" s="233"/>
      <c r="AT47" s="233"/>
      <c r="AU47" s="233"/>
      <c r="AV47" s="232">
        <f t="shared" si="28"/>
        <v>1</v>
      </c>
      <c r="AX47" s="232"/>
      <c r="AY47" s="233"/>
      <c r="AZ47" s="233"/>
      <c r="BA47" s="233"/>
      <c r="BB47" s="233"/>
      <c r="BC47" s="233"/>
      <c r="BD47" s="232">
        <f t="shared" si="29"/>
        <v>0</v>
      </c>
      <c r="BF47" s="232"/>
      <c r="BG47" s="233"/>
      <c r="BH47" s="233"/>
      <c r="BI47" s="233"/>
      <c r="BJ47" s="233"/>
      <c r="BK47" s="233"/>
      <c r="BL47" s="232">
        <f t="shared" si="30"/>
        <v>0</v>
      </c>
      <c r="BN47" s="229">
        <f t="shared" si="33"/>
        <v>7</v>
      </c>
      <c r="BO47" s="229">
        <f t="shared" si="31"/>
        <v>0</v>
      </c>
      <c r="BP47" s="229">
        <f t="shared" si="31"/>
        <v>0</v>
      </c>
      <c r="BQ47" s="229">
        <f t="shared" si="31"/>
        <v>0</v>
      </c>
      <c r="BR47" s="229">
        <f t="shared" si="31"/>
        <v>0</v>
      </c>
      <c r="BS47" s="229">
        <f t="shared" si="31"/>
        <v>0</v>
      </c>
      <c r="BT47" s="232">
        <f t="shared" si="32"/>
        <v>7</v>
      </c>
    </row>
    <row r="48" spans="1:72" x14ac:dyDescent="0.25">
      <c r="A48" s="191" t="s">
        <v>199</v>
      </c>
      <c r="B48" s="232">
        <v>1</v>
      </c>
      <c r="C48" s="233"/>
      <c r="D48" s="233"/>
      <c r="E48" s="233"/>
      <c r="F48" s="233"/>
      <c r="G48" s="233"/>
      <c r="H48" s="232">
        <f t="shared" si="23"/>
        <v>1</v>
      </c>
      <c r="J48" s="232">
        <v>3</v>
      </c>
      <c r="K48" s="233"/>
      <c r="L48" s="233"/>
      <c r="M48" s="233"/>
      <c r="N48" s="233"/>
      <c r="O48" s="233"/>
      <c r="P48" s="232">
        <f t="shared" si="24"/>
        <v>3</v>
      </c>
      <c r="R48" s="232">
        <v>2</v>
      </c>
      <c r="S48" s="233"/>
      <c r="T48" s="233"/>
      <c r="U48" s="233"/>
      <c r="V48" s="233"/>
      <c r="W48" s="233"/>
      <c r="X48" s="232">
        <f t="shared" si="25"/>
        <v>2</v>
      </c>
      <c r="Z48" s="232">
        <v>1</v>
      </c>
      <c r="AA48" s="233"/>
      <c r="AB48" s="233"/>
      <c r="AC48" s="233"/>
      <c r="AD48" s="233"/>
      <c r="AE48" s="233"/>
      <c r="AF48" s="232">
        <f t="shared" si="26"/>
        <v>1</v>
      </c>
      <c r="AH48" s="233">
        <v>2</v>
      </c>
      <c r="AI48" s="233"/>
      <c r="AJ48" s="233"/>
      <c r="AK48" s="233"/>
      <c r="AL48" s="233"/>
      <c r="AM48" s="233"/>
      <c r="AN48" s="232">
        <f t="shared" si="27"/>
        <v>2</v>
      </c>
      <c r="AP48" s="313">
        <v>1</v>
      </c>
      <c r="AQ48" s="233"/>
      <c r="AR48" s="233"/>
      <c r="AS48" s="233"/>
      <c r="AT48" s="233"/>
      <c r="AU48" s="233"/>
      <c r="AV48" s="232">
        <f t="shared" si="28"/>
        <v>1</v>
      </c>
      <c r="AX48" s="232">
        <v>0</v>
      </c>
      <c r="AY48" s="233"/>
      <c r="AZ48" s="233"/>
      <c r="BA48" s="233"/>
      <c r="BB48" s="233"/>
      <c r="BC48" s="233"/>
      <c r="BD48" s="232">
        <f t="shared" si="29"/>
        <v>0</v>
      </c>
      <c r="BF48" s="232"/>
      <c r="BG48" s="233"/>
      <c r="BH48" s="233"/>
      <c r="BI48" s="233"/>
      <c r="BJ48" s="233"/>
      <c r="BK48" s="233"/>
      <c r="BL48" s="232">
        <f t="shared" si="30"/>
        <v>0</v>
      </c>
      <c r="BN48" s="229">
        <f t="shared" si="33"/>
        <v>10</v>
      </c>
      <c r="BO48" s="229">
        <f t="shared" si="31"/>
        <v>0</v>
      </c>
      <c r="BP48" s="229">
        <f t="shared" si="31"/>
        <v>0</v>
      </c>
      <c r="BQ48" s="229">
        <f t="shared" si="31"/>
        <v>0</v>
      </c>
      <c r="BR48" s="229">
        <f t="shared" si="31"/>
        <v>0</v>
      </c>
      <c r="BS48" s="229">
        <f t="shared" si="31"/>
        <v>0</v>
      </c>
      <c r="BT48" s="232">
        <f t="shared" si="32"/>
        <v>10</v>
      </c>
    </row>
    <row r="49" spans="1:72" x14ac:dyDescent="0.25">
      <c r="A49" s="191" t="s">
        <v>200</v>
      </c>
      <c r="B49" s="232">
        <v>2</v>
      </c>
      <c r="C49" s="233"/>
      <c r="D49" s="233"/>
      <c r="E49" s="233"/>
      <c r="F49" s="233"/>
      <c r="G49" s="233"/>
      <c r="H49" s="232">
        <f t="shared" si="23"/>
        <v>2</v>
      </c>
      <c r="J49" s="232">
        <v>3</v>
      </c>
      <c r="K49" s="233"/>
      <c r="L49" s="233"/>
      <c r="M49" s="233"/>
      <c r="N49" s="233"/>
      <c r="O49" s="233"/>
      <c r="P49" s="232">
        <f t="shared" si="24"/>
        <v>3</v>
      </c>
      <c r="R49" s="232">
        <v>1</v>
      </c>
      <c r="S49" s="233"/>
      <c r="T49" s="233"/>
      <c r="U49" s="233"/>
      <c r="V49" s="233"/>
      <c r="W49" s="233"/>
      <c r="X49" s="232">
        <f t="shared" si="25"/>
        <v>1</v>
      </c>
      <c r="Z49" s="232">
        <v>1</v>
      </c>
      <c r="AA49" s="233"/>
      <c r="AB49" s="233"/>
      <c r="AC49" s="233"/>
      <c r="AD49" s="233"/>
      <c r="AE49" s="233"/>
      <c r="AF49" s="232">
        <f t="shared" si="26"/>
        <v>1</v>
      </c>
      <c r="AH49" s="233">
        <v>4</v>
      </c>
      <c r="AI49" s="233"/>
      <c r="AJ49" s="233"/>
      <c r="AK49" s="233"/>
      <c r="AL49" s="233"/>
      <c r="AM49" s="233"/>
      <c r="AN49" s="232">
        <f t="shared" si="27"/>
        <v>4</v>
      </c>
      <c r="AP49" s="232">
        <v>1</v>
      </c>
      <c r="AQ49" s="233"/>
      <c r="AR49" s="233"/>
      <c r="AS49" s="233"/>
      <c r="AT49" s="233"/>
      <c r="AU49" s="233"/>
      <c r="AV49" s="232">
        <f t="shared" si="28"/>
        <v>1</v>
      </c>
      <c r="AX49" s="232">
        <v>0</v>
      </c>
      <c r="AY49" s="233"/>
      <c r="AZ49" s="233"/>
      <c r="BA49" s="233"/>
      <c r="BB49" s="233"/>
      <c r="BC49" s="233"/>
      <c r="BD49" s="232">
        <f t="shared" si="29"/>
        <v>0</v>
      </c>
      <c r="BF49" s="232">
        <v>1</v>
      </c>
      <c r="BG49" s="233"/>
      <c r="BH49" s="233"/>
      <c r="BI49" s="233"/>
      <c r="BJ49" s="233"/>
      <c r="BK49" s="233"/>
      <c r="BL49" s="232">
        <f t="shared" si="30"/>
        <v>1</v>
      </c>
      <c r="BN49" s="229">
        <f t="shared" si="33"/>
        <v>13</v>
      </c>
      <c r="BO49" s="229">
        <f t="shared" si="31"/>
        <v>0</v>
      </c>
      <c r="BP49" s="229">
        <f t="shared" si="31"/>
        <v>0</v>
      </c>
      <c r="BQ49" s="229">
        <f t="shared" si="31"/>
        <v>0</v>
      </c>
      <c r="BR49" s="229">
        <f t="shared" si="31"/>
        <v>0</v>
      </c>
      <c r="BS49" s="229">
        <f t="shared" si="31"/>
        <v>0</v>
      </c>
      <c r="BT49" s="232">
        <f t="shared" si="32"/>
        <v>13</v>
      </c>
    </row>
    <row r="50" spans="1:72" x14ac:dyDescent="0.25">
      <c r="A50" s="191" t="s">
        <v>201</v>
      </c>
      <c r="B50" s="233">
        <v>4</v>
      </c>
      <c r="C50" s="233">
        <v>4</v>
      </c>
      <c r="D50" s="233"/>
      <c r="E50" s="233"/>
      <c r="F50" s="233"/>
      <c r="G50" s="233"/>
      <c r="H50" s="232">
        <f>SUM(B50:G50)</f>
        <v>8</v>
      </c>
      <c r="J50" s="233">
        <v>10</v>
      </c>
      <c r="K50" s="233">
        <v>12</v>
      </c>
      <c r="L50" s="233"/>
      <c r="M50" s="233"/>
      <c r="N50" s="233"/>
      <c r="O50" s="233"/>
      <c r="P50" s="232">
        <f>SUM(J50:O50)</f>
        <v>22</v>
      </c>
      <c r="R50" s="307">
        <v>6</v>
      </c>
      <c r="S50" s="233">
        <v>4</v>
      </c>
      <c r="T50" s="233"/>
      <c r="U50" s="233"/>
      <c r="V50" s="233"/>
      <c r="W50" s="233"/>
      <c r="X50" s="232">
        <f>SUM(R50:W50)</f>
        <v>10</v>
      </c>
      <c r="Z50" s="233">
        <v>5</v>
      </c>
      <c r="AA50" s="233">
        <v>5</v>
      </c>
      <c r="AB50" s="233"/>
      <c r="AC50" s="233"/>
      <c r="AD50" s="233"/>
      <c r="AE50" s="233"/>
      <c r="AF50" s="232">
        <f>SUM(Z50:AE50)</f>
        <v>10</v>
      </c>
      <c r="AH50" s="233">
        <v>5</v>
      </c>
      <c r="AI50" s="233">
        <v>12</v>
      </c>
      <c r="AJ50" s="233"/>
      <c r="AK50" s="233"/>
      <c r="AL50" s="233"/>
      <c r="AM50" s="233"/>
      <c r="AN50" s="232">
        <f>SUM(AH50:AM50)</f>
        <v>17</v>
      </c>
      <c r="AP50" s="233">
        <v>0</v>
      </c>
      <c r="AQ50" s="233">
        <v>3</v>
      </c>
      <c r="AR50" s="233"/>
      <c r="AS50" s="233"/>
      <c r="AT50" s="233">
        <v>3.5</v>
      </c>
      <c r="AU50" s="233"/>
      <c r="AV50" s="232">
        <f>SUM(AP50:AU50)</f>
        <v>6.5</v>
      </c>
      <c r="AX50" s="233">
        <v>3</v>
      </c>
      <c r="AY50" s="233">
        <v>1</v>
      </c>
      <c r="AZ50" s="233"/>
      <c r="BA50" s="233"/>
      <c r="BB50" s="233">
        <v>1</v>
      </c>
      <c r="BC50" s="233"/>
      <c r="BD50" s="232">
        <f>SUM(AX50:BC50)</f>
        <v>5</v>
      </c>
      <c r="BF50" s="233"/>
      <c r="BG50" s="233"/>
      <c r="BH50" s="233"/>
      <c r="BI50" s="233"/>
      <c r="BJ50" s="233"/>
      <c r="BK50" s="233"/>
      <c r="BL50" s="232">
        <f>SUM(BF50:BK50)</f>
        <v>0</v>
      </c>
      <c r="BN50" s="229">
        <f t="shared" si="33"/>
        <v>33</v>
      </c>
      <c r="BO50" s="229">
        <f t="shared" si="31"/>
        <v>41</v>
      </c>
      <c r="BP50" s="229">
        <f t="shared" si="31"/>
        <v>0</v>
      </c>
      <c r="BQ50" s="229">
        <f t="shared" si="31"/>
        <v>0</v>
      </c>
      <c r="BR50" s="229">
        <f t="shared" si="31"/>
        <v>4.5</v>
      </c>
      <c r="BS50" s="229">
        <f t="shared" si="31"/>
        <v>0</v>
      </c>
      <c r="BT50" s="232">
        <f>SUM(BN50:BS50)</f>
        <v>78.5</v>
      </c>
    </row>
    <row r="51" spans="1:72" x14ac:dyDescent="0.25">
      <c r="A51" s="191" t="s">
        <v>202</v>
      </c>
      <c r="B51" s="233">
        <v>2</v>
      </c>
      <c r="C51" s="233"/>
      <c r="D51" s="233"/>
      <c r="E51" s="233"/>
      <c r="F51" s="233"/>
      <c r="G51" s="233"/>
      <c r="H51" s="232">
        <f t="shared" si="23"/>
        <v>2</v>
      </c>
      <c r="J51" s="233">
        <f>6+2</f>
        <v>8</v>
      </c>
      <c r="K51" s="233"/>
      <c r="L51" s="233"/>
      <c r="M51" s="233"/>
      <c r="N51" s="233"/>
      <c r="O51" s="233"/>
      <c r="P51" s="232">
        <f t="shared" si="24"/>
        <v>8</v>
      </c>
      <c r="R51" s="233">
        <v>3</v>
      </c>
      <c r="S51" s="233"/>
      <c r="T51" s="233"/>
      <c r="U51" s="233"/>
      <c r="V51" s="233"/>
      <c r="W51" s="233"/>
      <c r="X51" s="232">
        <f t="shared" si="25"/>
        <v>3</v>
      </c>
      <c r="Z51" s="233">
        <v>3</v>
      </c>
      <c r="AA51" s="233"/>
      <c r="AB51" s="233"/>
      <c r="AC51" s="233"/>
      <c r="AD51" s="233"/>
      <c r="AE51" s="233"/>
      <c r="AF51" s="232">
        <f t="shared" si="26"/>
        <v>3</v>
      </c>
      <c r="AH51" s="233">
        <v>8</v>
      </c>
      <c r="AI51" s="233"/>
      <c r="AJ51" s="233"/>
      <c r="AK51" s="233"/>
      <c r="AL51" s="233"/>
      <c r="AM51" s="233"/>
      <c r="AN51" s="232">
        <f t="shared" si="27"/>
        <v>8</v>
      </c>
      <c r="AP51" s="233">
        <v>2</v>
      </c>
      <c r="AQ51" s="233"/>
      <c r="AR51" s="233"/>
      <c r="AS51" s="233"/>
      <c r="AT51" s="233"/>
      <c r="AU51" s="233"/>
      <c r="AV51" s="232">
        <f t="shared" si="28"/>
        <v>2</v>
      </c>
      <c r="AX51" s="233">
        <v>0</v>
      </c>
      <c r="AY51" s="233"/>
      <c r="AZ51" s="233"/>
      <c r="BA51" s="233"/>
      <c r="BB51" s="233"/>
      <c r="BC51" s="233"/>
      <c r="BD51" s="232">
        <f t="shared" si="29"/>
        <v>0</v>
      </c>
      <c r="BF51" s="233"/>
      <c r="BG51" s="233"/>
      <c r="BH51" s="233"/>
      <c r="BI51" s="233"/>
      <c r="BJ51" s="233"/>
      <c r="BK51" s="233"/>
      <c r="BL51" s="232">
        <f t="shared" si="30"/>
        <v>0</v>
      </c>
      <c r="BN51" s="229">
        <f t="shared" si="33"/>
        <v>26</v>
      </c>
      <c r="BO51" s="229">
        <f t="shared" si="31"/>
        <v>0</v>
      </c>
      <c r="BP51" s="229">
        <f t="shared" si="31"/>
        <v>0</v>
      </c>
      <c r="BQ51" s="229">
        <f t="shared" si="31"/>
        <v>0</v>
      </c>
      <c r="BR51" s="229">
        <f t="shared" si="31"/>
        <v>0</v>
      </c>
      <c r="BS51" s="229">
        <f t="shared" si="31"/>
        <v>0</v>
      </c>
      <c r="BT51" s="232">
        <f t="shared" ref="BT51:BT60" si="34">SUM(BN51:BS51)</f>
        <v>26</v>
      </c>
    </row>
    <row r="52" spans="1:72" x14ac:dyDescent="0.25">
      <c r="A52" s="191" t="s">
        <v>323</v>
      </c>
      <c r="B52" s="233"/>
      <c r="C52" s="233"/>
      <c r="D52" s="233">
        <v>2</v>
      </c>
      <c r="E52" s="233"/>
      <c r="F52" s="233"/>
      <c r="G52" s="233"/>
      <c r="H52" s="232">
        <f t="shared" si="23"/>
        <v>2</v>
      </c>
      <c r="J52" s="233"/>
      <c r="K52" s="233"/>
      <c r="L52" s="233">
        <v>6</v>
      </c>
      <c r="M52" s="233"/>
      <c r="N52" s="233"/>
      <c r="O52" s="233"/>
      <c r="P52" s="232">
        <f t="shared" si="24"/>
        <v>6</v>
      </c>
      <c r="R52" s="233"/>
      <c r="S52" s="233"/>
      <c r="T52" s="233">
        <v>2</v>
      </c>
      <c r="U52" s="233"/>
      <c r="V52" s="233"/>
      <c r="W52" s="233"/>
      <c r="X52" s="232">
        <f t="shared" si="25"/>
        <v>2</v>
      </c>
      <c r="Z52" s="233"/>
      <c r="AA52" s="233"/>
      <c r="AB52" s="233">
        <v>2</v>
      </c>
      <c r="AC52" s="233"/>
      <c r="AD52" s="233"/>
      <c r="AE52" s="233"/>
      <c r="AF52" s="232">
        <f t="shared" si="26"/>
        <v>2</v>
      </c>
      <c r="AH52" s="233"/>
      <c r="AI52" s="233"/>
      <c r="AJ52" s="233">
        <v>4</v>
      </c>
      <c r="AK52" s="233"/>
      <c r="AL52" s="233"/>
      <c r="AM52" s="233"/>
      <c r="AN52" s="232">
        <f t="shared" si="27"/>
        <v>4</v>
      </c>
      <c r="AP52" s="233"/>
      <c r="AQ52" s="233"/>
      <c r="AR52" s="233">
        <v>1</v>
      </c>
      <c r="AS52" s="233"/>
      <c r="AT52" s="233"/>
      <c r="AU52" s="233"/>
      <c r="AV52" s="232">
        <f t="shared" si="28"/>
        <v>1</v>
      </c>
      <c r="AX52" s="233"/>
      <c r="AY52" s="233"/>
      <c r="AZ52" s="233">
        <v>0</v>
      </c>
      <c r="BA52" s="233"/>
      <c r="BB52" s="233"/>
      <c r="BC52" s="233"/>
      <c r="BD52" s="232">
        <f t="shared" si="29"/>
        <v>0</v>
      </c>
      <c r="BF52" s="233"/>
      <c r="BG52" s="233"/>
      <c r="BH52" s="233">
        <v>1</v>
      </c>
      <c r="BI52" s="233"/>
      <c r="BJ52" s="233"/>
      <c r="BK52" s="233"/>
      <c r="BL52" s="232">
        <f t="shared" si="30"/>
        <v>1</v>
      </c>
      <c r="BN52" s="229">
        <f t="shared" si="33"/>
        <v>0</v>
      </c>
      <c r="BO52" s="229">
        <f t="shared" si="31"/>
        <v>0</v>
      </c>
      <c r="BP52" s="229">
        <f t="shared" si="31"/>
        <v>18</v>
      </c>
      <c r="BQ52" s="229">
        <f t="shared" si="31"/>
        <v>0</v>
      </c>
      <c r="BR52" s="229">
        <f t="shared" si="31"/>
        <v>0</v>
      </c>
      <c r="BS52" s="229">
        <f t="shared" si="31"/>
        <v>0</v>
      </c>
      <c r="BT52" s="232">
        <f t="shared" si="34"/>
        <v>18</v>
      </c>
    </row>
    <row r="53" spans="1:72" x14ac:dyDescent="0.25">
      <c r="A53" s="191" t="s">
        <v>203</v>
      </c>
      <c r="B53" s="233"/>
      <c r="C53" s="233"/>
      <c r="D53" s="233"/>
      <c r="E53" s="233"/>
      <c r="F53" s="233"/>
      <c r="G53" s="233"/>
      <c r="H53" s="232">
        <f t="shared" si="23"/>
        <v>0</v>
      </c>
      <c r="J53" s="233">
        <v>1</v>
      </c>
      <c r="K53" s="233"/>
      <c r="L53" s="233"/>
      <c r="M53" s="233"/>
      <c r="N53" s="233"/>
      <c r="O53" s="233"/>
      <c r="P53" s="232">
        <f t="shared" si="24"/>
        <v>1</v>
      </c>
      <c r="R53" s="233">
        <v>1</v>
      </c>
      <c r="S53" s="233"/>
      <c r="T53" s="233"/>
      <c r="U53" s="233"/>
      <c r="V53" s="233"/>
      <c r="W53" s="233"/>
      <c r="X53" s="232">
        <f t="shared" si="25"/>
        <v>1</v>
      </c>
      <c r="Z53" s="233"/>
      <c r="AA53" s="233"/>
      <c r="AB53" s="233"/>
      <c r="AC53" s="233"/>
      <c r="AD53" s="233"/>
      <c r="AE53" s="233"/>
      <c r="AF53" s="232">
        <f t="shared" si="26"/>
        <v>0</v>
      </c>
      <c r="AH53" s="233"/>
      <c r="AI53" s="233"/>
      <c r="AJ53" s="233"/>
      <c r="AK53" s="233"/>
      <c r="AL53" s="233"/>
      <c r="AM53" s="233"/>
      <c r="AN53" s="232">
        <f t="shared" si="27"/>
        <v>0</v>
      </c>
      <c r="AP53" s="233"/>
      <c r="AQ53" s="233"/>
      <c r="AR53" s="233"/>
      <c r="AS53" s="233"/>
      <c r="AT53" s="233"/>
      <c r="AU53" s="233">
        <v>0</v>
      </c>
      <c r="AV53" s="232">
        <f t="shared" si="28"/>
        <v>0</v>
      </c>
      <c r="AX53" s="233"/>
      <c r="AY53" s="233"/>
      <c r="AZ53" s="233"/>
      <c r="BA53" s="233"/>
      <c r="BB53" s="233"/>
      <c r="BC53" s="233">
        <v>0</v>
      </c>
      <c r="BD53" s="232">
        <f t="shared" si="29"/>
        <v>0</v>
      </c>
      <c r="BF53" s="233"/>
      <c r="BG53" s="233"/>
      <c r="BH53" s="233"/>
      <c r="BI53" s="233"/>
      <c r="BJ53" s="233"/>
      <c r="BK53" s="233"/>
      <c r="BL53" s="232">
        <f t="shared" si="30"/>
        <v>0</v>
      </c>
      <c r="BN53" s="229">
        <f t="shared" si="33"/>
        <v>2</v>
      </c>
      <c r="BO53" s="229">
        <f t="shared" si="31"/>
        <v>0</v>
      </c>
      <c r="BP53" s="229">
        <f t="shared" si="31"/>
        <v>0</v>
      </c>
      <c r="BQ53" s="229">
        <f t="shared" si="31"/>
        <v>0</v>
      </c>
      <c r="BR53" s="229">
        <f t="shared" si="31"/>
        <v>0</v>
      </c>
      <c r="BS53" s="229">
        <f t="shared" si="31"/>
        <v>0</v>
      </c>
      <c r="BT53" s="232">
        <f t="shared" si="34"/>
        <v>2</v>
      </c>
    </row>
    <row r="54" spans="1:72" x14ac:dyDescent="0.25">
      <c r="A54" s="194" t="s">
        <v>204</v>
      </c>
      <c r="B54" s="233"/>
      <c r="C54" s="233">
        <v>1</v>
      </c>
      <c r="D54" s="233"/>
      <c r="E54" s="233"/>
      <c r="F54" s="233"/>
      <c r="G54" s="233"/>
      <c r="H54" s="232">
        <f t="shared" si="23"/>
        <v>1</v>
      </c>
      <c r="J54" s="233"/>
      <c r="K54" s="233">
        <v>1</v>
      </c>
      <c r="L54" s="233"/>
      <c r="M54" s="233"/>
      <c r="N54" s="233"/>
      <c r="O54" s="233"/>
      <c r="P54" s="232">
        <f t="shared" si="24"/>
        <v>1</v>
      </c>
      <c r="R54" s="233"/>
      <c r="S54" s="233">
        <v>1</v>
      </c>
      <c r="T54" s="233"/>
      <c r="U54" s="233"/>
      <c r="V54" s="233"/>
      <c r="W54" s="233"/>
      <c r="X54" s="232">
        <f t="shared" si="25"/>
        <v>1</v>
      </c>
      <c r="Z54" s="233"/>
      <c r="AA54" s="233">
        <v>1</v>
      </c>
      <c r="AB54" s="233"/>
      <c r="AC54" s="233"/>
      <c r="AD54" s="233"/>
      <c r="AE54" s="233"/>
      <c r="AF54" s="232">
        <f t="shared" si="26"/>
        <v>1</v>
      </c>
      <c r="AH54" s="233"/>
      <c r="AI54" s="233"/>
      <c r="AJ54" s="233"/>
      <c r="AK54" s="233"/>
      <c r="AL54" s="233"/>
      <c r="AM54" s="233"/>
      <c r="AN54" s="232">
        <f t="shared" si="27"/>
        <v>0</v>
      </c>
      <c r="AP54" s="233"/>
      <c r="AQ54" s="233">
        <v>1</v>
      </c>
      <c r="AR54" s="233"/>
      <c r="AS54" s="233"/>
      <c r="AT54" s="233"/>
      <c r="AU54" s="233"/>
      <c r="AV54" s="232">
        <f t="shared" si="28"/>
        <v>1</v>
      </c>
      <c r="AX54" s="233"/>
      <c r="AY54" s="233"/>
      <c r="AZ54" s="233"/>
      <c r="BA54" s="233"/>
      <c r="BB54" s="233"/>
      <c r="BC54" s="233"/>
      <c r="BD54" s="232">
        <f t="shared" si="29"/>
        <v>0</v>
      </c>
      <c r="BF54" s="233"/>
      <c r="BG54" s="233"/>
      <c r="BH54" s="233"/>
      <c r="BI54" s="233"/>
      <c r="BJ54" s="233"/>
      <c r="BK54" s="233"/>
      <c r="BL54" s="232">
        <f t="shared" si="30"/>
        <v>0</v>
      </c>
      <c r="BN54" s="229">
        <f t="shared" si="33"/>
        <v>0</v>
      </c>
      <c r="BO54" s="229">
        <f t="shared" si="31"/>
        <v>5</v>
      </c>
      <c r="BP54" s="229">
        <f t="shared" si="31"/>
        <v>0</v>
      </c>
      <c r="BQ54" s="229">
        <f t="shared" si="31"/>
        <v>0</v>
      </c>
      <c r="BR54" s="229">
        <f t="shared" si="31"/>
        <v>0</v>
      </c>
      <c r="BS54" s="229">
        <f t="shared" si="31"/>
        <v>0</v>
      </c>
      <c r="BT54" s="232">
        <f t="shared" si="34"/>
        <v>5</v>
      </c>
    </row>
    <row r="55" spans="1:72" x14ac:dyDescent="0.25">
      <c r="A55" s="194" t="s">
        <v>205</v>
      </c>
      <c r="B55" s="233"/>
      <c r="C55" s="233"/>
      <c r="D55" s="233"/>
      <c r="E55" s="233"/>
      <c r="F55" s="233"/>
      <c r="G55" s="233"/>
      <c r="H55" s="232">
        <f t="shared" si="23"/>
        <v>0</v>
      </c>
      <c r="J55" s="233"/>
      <c r="K55" s="233">
        <v>1</v>
      </c>
      <c r="L55" s="233"/>
      <c r="M55" s="233"/>
      <c r="N55" s="233"/>
      <c r="O55" s="233"/>
      <c r="P55" s="232">
        <f t="shared" si="24"/>
        <v>1</v>
      </c>
      <c r="R55" s="233"/>
      <c r="S55" s="233"/>
      <c r="T55" s="233"/>
      <c r="U55" s="233"/>
      <c r="V55" s="233"/>
      <c r="W55" s="233"/>
      <c r="X55" s="232">
        <f t="shared" si="25"/>
        <v>0</v>
      </c>
      <c r="Z55" s="233"/>
      <c r="AA55" s="233">
        <v>1</v>
      </c>
      <c r="AB55" s="233"/>
      <c r="AC55" s="233"/>
      <c r="AD55" s="233"/>
      <c r="AE55" s="233"/>
      <c r="AF55" s="232">
        <f t="shared" si="26"/>
        <v>1</v>
      </c>
      <c r="AH55" s="233"/>
      <c r="AI55" s="233"/>
      <c r="AJ55" s="233"/>
      <c r="AK55" s="233"/>
      <c r="AL55" s="233"/>
      <c r="AM55" s="233"/>
      <c r="AN55" s="232">
        <f t="shared" si="27"/>
        <v>0</v>
      </c>
      <c r="AP55" s="233"/>
      <c r="AQ55" s="233"/>
      <c r="AR55" s="233"/>
      <c r="AS55" s="233"/>
      <c r="AT55" s="233"/>
      <c r="AU55" s="233"/>
      <c r="AV55" s="232">
        <f t="shared" si="28"/>
        <v>0</v>
      </c>
      <c r="AX55" s="233"/>
      <c r="AY55" s="233"/>
      <c r="AZ55" s="233"/>
      <c r="BA55" s="233"/>
      <c r="BB55" s="233"/>
      <c r="BC55" s="233"/>
      <c r="BD55" s="232">
        <f t="shared" si="29"/>
        <v>0</v>
      </c>
      <c r="BF55" s="233"/>
      <c r="BG55" s="233"/>
      <c r="BH55" s="233"/>
      <c r="BI55" s="233"/>
      <c r="BJ55" s="233"/>
      <c r="BK55" s="233"/>
      <c r="BL55" s="232">
        <f t="shared" si="30"/>
        <v>0</v>
      </c>
      <c r="BN55" s="229">
        <f t="shared" si="33"/>
        <v>0</v>
      </c>
      <c r="BO55" s="229">
        <f t="shared" si="33"/>
        <v>2</v>
      </c>
      <c r="BP55" s="229">
        <f t="shared" si="33"/>
        <v>0</v>
      </c>
      <c r="BQ55" s="229">
        <f t="shared" si="33"/>
        <v>0</v>
      </c>
      <c r="BR55" s="229">
        <f t="shared" si="33"/>
        <v>0</v>
      </c>
      <c r="BS55" s="229">
        <f t="shared" si="33"/>
        <v>0</v>
      </c>
      <c r="BT55" s="232">
        <f t="shared" si="34"/>
        <v>2</v>
      </c>
    </row>
    <row r="56" spans="1:72" x14ac:dyDescent="0.25">
      <c r="A56" s="194" t="s">
        <v>206</v>
      </c>
      <c r="B56" s="233"/>
      <c r="C56" s="233"/>
      <c r="D56" s="233"/>
      <c r="E56" s="233"/>
      <c r="F56" s="233"/>
      <c r="G56" s="233"/>
      <c r="H56" s="232">
        <f t="shared" si="23"/>
        <v>0</v>
      </c>
      <c r="J56" s="233"/>
      <c r="K56" s="233">
        <v>1</v>
      </c>
      <c r="L56" s="233"/>
      <c r="M56" s="233"/>
      <c r="N56" s="233"/>
      <c r="O56" s="233"/>
      <c r="P56" s="232">
        <f t="shared" si="24"/>
        <v>1</v>
      </c>
      <c r="R56" s="233"/>
      <c r="S56" s="233">
        <v>0.5</v>
      </c>
      <c r="T56" s="233"/>
      <c r="U56" s="233"/>
      <c r="V56" s="233"/>
      <c r="W56" s="233"/>
      <c r="X56" s="232">
        <f t="shared" si="25"/>
        <v>0.5</v>
      </c>
      <c r="Z56" s="233"/>
      <c r="AA56" s="233">
        <v>0.5</v>
      </c>
      <c r="AB56" s="233"/>
      <c r="AC56" s="233"/>
      <c r="AD56" s="233"/>
      <c r="AE56" s="233"/>
      <c r="AF56" s="232">
        <f t="shared" si="26"/>
        <v>0.5</v>
      </c>
      <c r="AH56" s="233"/>
      <c r="AI56" s="233">
        <v>1</v>
      </c>
      <c r="AJ56" s="233"/>
      <c r="AK56" s="233"/>
      <c r="AL56" s="233"/>
      <c r="AM56" s="233"/>
      <c r="AN56" s="232">
        <f t="shared" si="27"/>
        <v>1</v>
      </c>
      <c r="AP56" s="233"/>
      <c r="AQ56" s="233"/>
      <c r="AR56" s="233"/>
      <c r="AS56" s="233"/>
      <c r="AT56" s="233"/>
      <c r="AU56" s="233"/>
      <c r="AV56" s="232">
        <f t="shared" si="28"/>
        <v>0</v>
      </c>
      <c r="AX56" s="233"/>
      <c r="AY56" s="233"/>
      <c r="AZ56" s="233"/>
      <c r="BA56" s="233"/>
      <c r="BB56" s="233"/>
      <c r="BC56" s="233"/>
      <c r="BD56" s="232">
        <f t="shared" si="29"/>
        <v>0</v>
      </c>
      <c r="BF56" s="233"/>
      <c r="BG56" s="233"/>
      <c r="BH56" s="233"/>
      <c r="BI56" s="233"/>
      <c r="BJ56" s="233"/>
      <c r="BK56" s="233"/>
      <c r="BL56" s="232">
        <f t="shared" si="30"/>
        <v>0</v>
      </c>
      <c r="BN56" s="229">
        <f t="shared" si="33"/>
        <v>0</v>
      </c>
      <c r="BO56" s="229">
        <f t="shared" si="33"/>
        <v>3</v>
      </c>
      <c r="BP56" s="229">
        <f t="shared" si="33"/>
        <v>0</v>
      </c>
      <c r="BQ56" s="229">
        <f t="shared" si="33"/>
        <v>0</v>
      </c>
      <c r="BR56" s="229">
        <f t="shared" si="33"/>
        <v>0</v>
      </c>
      <c r="BS56" s="229">
        <f t="shared" si="33"/>
        <v>0</v>
      </c>
      <c r="BT56" s="232">
        <f t="shared" si="34"/>
        <v>3</v>
      </c>
    </row>
    <row r="57" spans="1:72" x14ac:dyDescent="0.25">
      <c r="A57" s="194" t="s">
        <v>207</v>
      </c>
      <c r="B57" s="233"/>
      <c r="C57" s="233"/>
      <c r="D57" s="233"/>
      <c r="E57" s="233"/>
      <c r="F57" s="233"/>
      <c r="G57" s="233"/>
      <c r="H57" s="232">
        <f t="shared" si="23"/>
        <v>0</v>
      </c>
      <c r="J57" s="233"/>
      <c r="K57" s="233">
        <v>0</v>
      </c>
      <c r="L57" s="233"/>
      <c r="M57" s="233"/>
      <c r="N57" s="233"/>
      <c r="O57" s="233"/>
      <c r="P57" s="232">
        <f t="shared" si="24"/>
        <v>0</v>
      </c>
      <c r="R57" s="233"/>
      <c r="S57" s="233"/>
      <c r="T57" s="233"/>
      <c r="U57" s="233"/>
      <c r="V57" s="233"/>
      <c r="W57" s="233"/>
      <c r="X57" s="232">
        <f t="shared" si="25"/>
        <v>0</v>
      </c>
      <c r="Z57" s="233"/>
      <c r="AA57" s="233">
        <v>0.33</v>
      </c>
      <c r="AB57" s="233"/>
      <c r="AC57" s="233"/>
      <c r="AD57" s="233"/>
      <c r="AE57" s="233"/>
      <c r="AF57" s="232">
        <f t="shared" si="26"/>
        <v>0.33</v>
      </c>
      <c r="AH57" s="233"/>
      <c r="AI57" s="233">
        <v>0.5</v>
      </c>
      <c r="AJ57" s="233"/>
      <c r="AK57" s="233"/>
      <c r="AL57" s="233"/>
      <c r="AM57" s="233"/>
      <c r="AN57" s="232">
        <f t="shared" si="27"/>
        <v>0.5</v>
      </c>
      <c r="AP57" s="233"/>
      <c r="AQ57" s="233"/>
      <c r="AR57" s="233"/>
      <c r="AS57" s="233"/>
      <c r="AT57" s="233"/>
      <c r="AU57" s="233"/>
      <c r="AV57" s="232">
        <f t="shared" si="28"/>
        <v>0</v>
      </c>
      <c r="AX57" s="233"/>
      <c r="AY57" s="233"/>
      <c r="AZ57" s="233"/>
      <c r="BA57" s="233"/>
      <c r="BB57" s="233"/>
      <c r="BC57" s="233"/>
      <c r="BD57" s="232">
        <f t="shared" si="29"/>
        <v>0</v>
      </c>
      <c r="BF57" s="233"/>
      <c r="BG57" s="233"/>
      <c r="BH57" s="233"/>
      <c r="BI57" s="233"/>
      <c r="BJ57" s="233"/>
      <c r="BK57" s="233"/>
      <c r="BL57" s="232">
        <f t="shared" si="30"/>
        <v>0</v>
      </c>
      <c r="BN57" s="229">
        <f t="shared" si="33"/>
        <v>0</v>
      </c>
      <c r="BO57" s="229">
        <f t="shared" si="33"/>
        <v>0.83000000000000007</v>
      </c>
      <c r="BP57" s="229">
        <f t="shared" si="33"/>
        <v>0</v>
      </c>
      <c r="BQ57" s="229">
        <f t="shared" si="33"/>
        <v>0</v>
      </c>
      <c r="BR57" s="229">
        <f t="shared" si="33"/>
        <v>0</v>
      </c>
      <c r="BS57" s="229">
        <f t="shared" si="33"/>
        <v>0</v>
      </c>
      <c r="BT57" s="232">
        <f t="shared" si="34"/>
        <v>0.83000000000000007</v>
      </c>
    </row>
    <row r="58" spans="1:72" x14ac:dyDescent="0.25">
      <c r="A58" s="194" t="s">
        <v>208</v>
      </c>
      <c r="B58" s="233"/>
      <c r="C58" s="233"/>
      <c r="D58" s="233"/>
      <c r="E58" s="233"/>
      <c r="F58" s="233"/>
      <c r="G58" s="233"/>
      <c r="H58" s="232">
        <f t="shared" si="23"/>
        <v>0</v>
      </c>
      <c r="J58" s="233">
        <v>1</v>
      </c>
      <c r="K58" s="233"/>
      <c r="L58" s="233"/>
      <c r="M58" s="233"/>
      <c r="N58" s="233"/>
      <c r="O58" s="233"/>
      <c r="P58" s="232">
        <f t="shared" si="24"/>
        <v>1</v>
      </c>
      <c r="R58" s="233">
        <v>0.5</v>
      </c>
      <c r="S58" s="233"/>
      <c r="T58" s="233"/>
      <c r="U58" s="233"/>
      <c r="V58" s="233"/>
      <c r="W58" s="233"/>
      <c r="X58" s="232">
        <f t="shared" si="25"/>
        <v>0.5</v>
      </c>
      <c r="Z58" s="233">
        <v>0.5</v>
      </c>
      <c r="AA58" s="233"/>
      <c r="AB58" s="233"/>
      <c r="AC58" s="233"/>
      <c r="AD58" s="233"/>
      <c r="AE58" s="233"/>
      <c r="AF58" s="232">
        <f t="shared" si="26"/>
        <v>0.5</v>
      </c>
      <c r="AH58" s="233">
        <v>1</v>
      </c>
      <c r="AI58" s="233"/>
      <c r="AJ58" s="233"/>
      <c r="AK58" s="233"/>
      <c r="AL58" s="233"/>
      <c r="AM58" s="233"/>
      <c r="AN58" s="232">
        <f t="shared" si="27"/>
        <v>1</v>
      </c>
      <c r="AP58" s="233"/>
      <c r="AQ58" s="233"/>
      <c r="AR58" s="233"/>
      <c r="AS58" s="233"/>
      <c r="AT58" s="233"/>
      <c r="AU58" s="233"/>
      <c r="AV58" s="232">
        <f t="shared" si="28"/>
        <v>0</v>
      </c>
      <c r="AX58" s="233"/>
      <c r="AY58" s="233"/>
      <c r="AZ58" s="233"/>
      <c r="BA58" s="233"/>
      <c r="BB58" s="233"/>
      <c r="BC58" s="233"/>
      <c r="BD58" s="232">
        <f t="shared" si="29"/>
        <v>0</v>
      </c>
      <c r="BF58" s="233"/>
      <c r="BG58" s="233"/>
      <c r="BH58" s="233"/>
      <c r="BI58" s="233"/>
      <c r="BJ58" s="233"/>
      <c r="BK58" s="233"/>
      <c r="BL58" s="232">
        <f t="shared" si="30"/>
        <v>0</v>
      </c>
      <c r="BN58" s="229">
        <f t="shared" si="33"/>
        <v>3</v>
      </c>
      <c r="BO58" s="229">
        <f t="shared" si="33"/>
        <v>0</v>
      </c>
      <c r="BP58" s="229">
        <f t="shared" si="33"/>
        <v>0</v>
      </c>
      <c r="BQ58" s="229">
        <f t="shared" si="33"/>
        <v>0</v>
      </c>
      <c r="BR58" s="229">
        <f t="shared" si="33"/>
        <v>0</v>
      </c>
      <c r="BS58" s="229">
        <f t="shared" si="33"/>
        <v>0</v>
      </c>
      <c r="BT58" s="232">
        <f t="shared" si="34"/>
        <v>3</v>
      </c>
    </row>
    <row r="59" spans="1:72" x14ac:dyDescent="0.25">
      <c r="A59" s="194" t="s">
        <v>209</v>
      </c>
      <c r="B59" s="233">
        <v>1</v>
      </c>
      <c r="C59" s="233"/>
      <c r="D59" s="233"/>
      <c r="E59" s="233"/>
      <c r="F59" s="233"/>
      <c r="G59" s="233"/>
      <c r="H59" s="232">
        <f t="shared" si="23"/>
        <v>1</v>
      </c>
      <c r="J59" s="233">
        <v>3</v>
      </c>
      <c r="K59" s="233"/>
      <c r="L59" s="233"/>
      <c r="M59" s="233"/>
      <c r="N59" s="233"/>
      <c r="O59" s="233"/>
      <c r="P59" s="232">
        <f t="shared" si="24"/>
        <v>3</v>
      </c>
      <c r="R59" s="233">
        <v>1</v>
      </c>
      <c r="S59" s="233"/>
      <c r="T59" s="233"/>
      <c r="U59" s="233"/>
      <c r="V59" s="233"/>
      <c r="W59" s="233"/>
      <c r="X59" s="232">
        <f t="shared" si="25"/>
        <v>1</v>
      </c>
      <c r="Z59" s="233">
        <v>2</v>
      </c>
      <c r="AA59" s="233"/>
      <c r="AB59" s="233"/>
      <c r="AC59" s="233"/>
      <c r="AD59" s="233"/>
      <c r="AE59" s="233"/>
      <c r="AF59" s="232">
        <f t="shared" si="26"/>
        <v>2</v>
      </c>
      <c r="AH59" s="233">
        <v>4</v>
      </c>
      <c r="AI59" s="233"/>
      <c r="AJ59" s="233"/>
      <c r="AK59" s="233"/>
      <c r="AL59" s="233"/>
      <c r="AM59" s="233"/>
      <c r="AN59" s="232">
        <f t="shared" si="27"/>
        <v>4</v>
      </c>
      <c r="AP59" s="233">
        <v>0</v>
      </c>
      <c r="AQ59" s="233"/>
      <c r="AR59" s="233"/>
      <c r="AS59" s="233"/>
      <c r="AT59" s="233"/>
      <c r="AU59" s="233"/>
      <c r="AV59" s="232">
        <f t="shared" si="28"/>
        <v>0</v>
      </c>
      <c r="AX59" s="233">
        <v>0</v>
      </c>
      <c r="AY59" s="233"/>
      <c r="AZ59" s="233"/>
      <c r="BA59" s="233"/>
      <c r="BB59" s="233"/>
      <c r="BC59" s="233"/>
      <c r="BD59" s="232">
        <f t="shared" si="29"/>
        <v>0</v>
      </c>
      <c r="BF59" s="233"/>
      <c r="BG59" s="233"/>
      <c r="BH59" s="233"/>
      <c r="BI59" s="233"/>
      <c r="BJ59" s="233"/>
      <c r="BK59" s="233"/>
      <c r="BL59" s="232">
        <f t="shared" si="30"/>
        <v>0</v>
      </c>
      <c r="BN59" s="229">
        <f t="shared" si="33"/>
        <v>11</v>
      </c>
      <c r="BO59" s="229">
        <f t="shared" si="33"/>
        <v>0</v>
      </c>
      <c r="BP59" s="229">
        <f t="shared" si="33"/>
        <v>0</v>
      </c>
      <c r="BQ59" s="229">
        <f t="shared" si="33"/>
        <v>0</v>
      </c>
      <c r="BR59" s="229">
        <f t="shared" si="33"/>
        <v>0</v>
      </c>
      <c r="BS59" s="229">
        <f t="shared" si="33"/>
        <v>0</v>
      </c>
      <c r="BT59" s="232">
        <f t="shared" si="34"/>
        <v>11</v>
      </c>
    </row>
    <row r="60" spans="1:72" x14ac:dyDescent="0.25">
      <c r="A60" s="191" t="s">
        <v>210</v>
      </c>
      <c r="B60" s="232"/>
      <c r="C60" s="232"/>
      <c r="D60" s="232"/>
      <c r="E60" s="232"/>
      <c r="F60" s="232"/>
      <c r="G60" s="232"/>
      <c r="H60" s="232">
        <f t="shared" si="23"/>
        <v>0</v>
      </c>
      <c r="J60" s="232">
        <v>1</v>
      </c>
      <c r="K60" s="232"/>
      <c r="L60" s="232"/>
      <c r="M60" s="232"/>
      <c r="N60" s="232"/>
      <c r="O60" s="232"/>
      <c r="P60" s="232">
        <f t="shared" si="24"/>
        <v>1</v>
      </c>
      <c r="R60" s="232"/>
      <c r="S60" s="232"/>
      <c r="T60" s="232"/>
      <c r="U60" s="232"/>
      <c r="V60" s="232"/>
      <c r="W60" s="232"/>
      <c r="X60" s="232">
        <f t="shared" si="25"/>
        <v>0</v>
      </c>
      <c r="Z60" s="232">
        <v>1</v>
      </c>
      <c r="AA60" s="232"/>
      <c r="AB60" s="232"/>
      <c r="AC60" s="232"/>
      <c r="AD60" s="232"/>
      <c r="AE60" s="232"/>
      <c r="AF60" s="232">
        <f t="shared" si="26"/>
        <v>1</v>
      </c>
      <c r="AH60" s="233">
        <v>1</v>
      </c>
      <c r="AI60" s="232"/>
      <c r="AJ60" s="232"/>
      <c r="AK60" s="232"/>
      <c r="AL60" s="232"/>
      <c r="AM60" s="232"/>
      <c r="AN60" s="232">
        <f t="shared" si="27"/>
        <v>1</v>
      </c>
      <c r="AP60" s="232">
        <v>0</v>
      </c>
      <c r="AQ60" s="232"/>
      <c r="AR60" s="232"/>
      <c r="AS60" s="232"/>
      <c r="AT60" s="232"/>
      <c r="AU60" s="232"/>
      <c r="AV60" s="232">
        <f t="shared" si="28"/>
        <v>0</v>
      </c>
      <c r="AX60" s="232">
        <v>0</v>
      </c>
      <c r="AY60" s="232"/>
      <c r="AZ60" s="232"/>
      <c r="BA60" s="232"/>
      <c r="BB60" s="232"/>
      <c r="BC60" s="232"/>
      <c r="BD60" s="232">
        <f t="shared" si="29"/>
        <v>0</v>
      </c>
      <c r="BF60" s="232"/>
      <c r="BG60" s="232"/>
      <c r="BH60" s="232"/>
      <c r="BI60" s="232"/>
      <c r="BJ60" s="232"/>
      <c r="BK60" s="232"/>
      <c r="BL60" s="232">
        <f t="shared" si="30"/>
        <v>0</v>
      </c>
      <c r="BN60" s="229">
        <f t="shared" si="33"/>
        <v>3</v>
      </c>
      <c r="BO60" s="229">
        <f t="shared" si="33"/>
        <v>0</v>
      </c>
      <c r="BP60" s="229">
        <f t="shared" si="33"/>
        <v>0</v>
      </c>
      <c r="BQ60" s="229">
        <f t="shared" si="33"/>
        <v>0</v>
      </c>
      <c r="BR60" s="229">
        <f t="shared" si="33"/>
        <v>0</v>
      </c>
      <c r="BS60" s="229">
        <f t="shared" si="33"/>
        <v>0</v>
      </c>
      <c r="BT60" s="232">
        <f t="shared" si="34"/>
        <v>3</v>
      </c>
    </row>
    <row r="61" spans="1:72" x14ac:dyDescent="0.25">
      <c r="A61" s="189" t="s">
        <v>211</v>
      </c>
      <c r="B61" s="234">
        <f t="shared" ref="B61:H61" si="35">SUM(B39:B60)</f>
        <v>18</v>
      </c>
      <c r="C61" s="234">
        <f t="shared" si="35"/>
        <v>5</v>
      </c>
      <c r="D61" s="234">
        <f t="shared" si="35"/>
        <v>2</v>
      </c>
      <c r="E61" s="234">
        <f t="shared" si="35"/>
        <v>0</v>
      </c>
      <c r="F61" s="234">
        <f t="shared" si="35"/>
        <v>1</v>
      </c>
      <c r="G61" s="234">
        <f t="shared" si="35"/>
        <v>0</v>
      </c>
      <c r="H61" s="234">
        <f t="shared" si="35"/>
        <v>26</v>
      </c>
      <c r="J61" s="234">
        <f t="shared" ref="J61:P61" si="36">SUM(J39:J60)</f>
        <v>56</v>
      </c>
      <c r="K61" s="234">
        <f t="shared" si="36"/>
        <v>15</v>
      </c>
      <c r="L61" s="234">
        <f t="shared" si="36"/>
        <v>6</v>
      </c>
      <c r="M61" s="234">
        <f t="shared" si="36"/>
        <v>0</v>
      </c>
      <c r="N61" s="234">
        <f t="shared" si="36"/>
        <v>0</v>
      </c>
      <c r="O61" s="234">
        <f t="shared" si="36"/>
        <v>0</v>
      </c>
      <c r="P61" s="234">
        <f t="shared" si="36"/>
        <v>77</v>
      </c>
      <c r="R61" s="234">
        <f t="shared" ref="R61:X61" si="37">SUM(R39:R60)</f>
        <v>22.5</v>
      </c>
      <c r="S61" s="234">
        <f t="shared" si="37"/>
        <v>5.5</v>
      </c>
      <c r="T61" s="234">
        <f t="shared" si="37"/>
        <v>2</v>
      </c>
      <c r="U61" s="234">
        <f t="shared" si="37"/>
        <v>0</v>
      </c>
      <c r="V61" s="234">
        <f t="shared" si="37"/>
        <v>0</v>
      </c>
      <c r="W61" s="234">
        <f t="shared" si="37"/>
        <v>0</v>
      </c>
      <c r="X61" s="234">
        <f t="shared" si="37"/>
        <v>30</v>
      </c>
      <c r="Z61" s="234">
        <f t="shared" ref="Z61:AF61" si="38">SUM(Z39:Z60)</f>
        <v>21.5</v>
      </c>
      <c r="AA61" s="234">
        <f t="shared" si="38"/>
        <v>7.83</v>
      </c>
      <c r="AB61" s="234">
        <f t="shared" si="38"/>
        <v>2</v>
      </c>
      <c r="AC61" s="234">
        <f t="shared" si="38"/>
        <v>0</v>
      </c>
      <c r="AD61" s="234">
        <f t="shared" si="38"/>
        <v>0</v>
      </c>
      <c r="AE61" s="234">
        <f t="shared" si="38"/>
        <v>0</v>
      </c>
      <c r="AF61" s="234">
        <f t="shared" si="38"/>
        <v>31.33</v>
      </c>
      <c r="AH61" s="234">
        <f t="shared" ref="AH61:AN61" si="39">SUM(AH39:AH60)</f>
        <v>44</v>
      </c>
      <c r="AI61" s="234">
        <f t="shared" si="39"/>
        <v>13.5</v>
      </c>
      <c r="AJ61" s="234">
        <f t="shared" si="39"/>
        <v>4</v>
      </c>
      <c r="AK61" s="234">
        <f t="shared" si="39"/>
        <v>0</v>
      </c>
      <c r="AL61" s="234">
        <f t="shared" si="39"/>
        <v>0</v>
      </c>
      <c r="AM61" s="234">
        <f t="shared" si="39"/>
        <v>0</v>
      </c>
      <c r="AN61" s="234">
        <f t="shared" si="39"/>
        <v>61.5</v>
      </c>
      <c r="AP61" s="234">
        <f t="shared" ref="AP61:AV61" si="40">SUM(AP39:AP60)</f>
        <v>10</v>
      </c>
      <c r="AQ61" s="234">
        <f t="shared" si="40"/>
        <v>4</v>
      </c>
      <c r="AR61" s="234">
        <f t="shared" si="40"/>
        <v>1</v>
      </c>
      <c r="AS61" s="234">
        <f t="shared" si="40"/>
        <v>0</v>
      </c>
      <c r="AT61" s="234">
        <f t="shared" si="40"/>
        <v>3.5</v>
      </c>
      <c r="AU61" s="234">
        <f t="shared" si="40"/>
        <v>0</v>
      </c>
      <c r="AV61" s="234">
        <f t="shared" si="40"/>
        <v>18.5</v>
      </c>
      <c r="AX61" s="234">
        <f t="shared" ref="AX61:BD61" si="41">SUM(AX39:AX60)</f>
        <v>4</v>
      </c>
      <c r="AY61" s="234">
        <f t="shared" si="41"/>
        <v>1</v>
      </c>
      <c r="AZ61" s="234">
        <f t="shared" si="41"/>
        <v>0</v>
      </c>
      <c r="BA61" s="234">
        <f t="shared" si="41"/>
        <v>0</v>
      </c>
      <c r="BB61" s="234">
        <f t="shared" si="41"/>
        <v>1</v>
      </c>
      <c r="BC61" s="234">
        <f t="shared" si="41"/>
        <v>0</v>
      </c>
      <c r="BD61" s="234">
        <f t="shared" si="41"/>
        <v>6</v>
      </c>
      <c r="BF61" s="234">
        <f t="shared" ref="BF61:BL61" si="42">SUM(BF39:BF60)</f>
        <v>3</v>
      </c>
      <c r="BG61" s="234">
        <f t="shared" si="42"/>
        <v>0</v>
      </c>
      <c r="BH61" s="234">
        <f t="shared" si="42"/>
        <v>1</v>
      </c>
      <c r="BI61" s="234">
        <f t="shared" si="42"/>
        <v>0</v>
      </c>
      <c r="BJ61" s="234">
        <f t="shared" si="42"/>
        <v>1</v>
      </c>
      <c r="BK61" s="234">
        <f t="shared" si="42"/>
        <v>0</v>
      </c>
      <c r="BL61" s="234">
        <f t="shared" si="42"/>
        <v>5</v>
      </c>
      <c r="BN61" s="234">
        <f t="shared" ref="BN61:BT61" si="43">SUM(BN39:BN60)</f>
        <v>179</v>
      </c>
      <c r="BO61" s="234">
        <f t="shared" si="43"/>
        <v>51.83</v>
      </c>
      <c r="BP61" s="234">
        <f t="shared" si="43"/>
        <v>18</v>
      </c>
      <c r="BQ61" s="234">
        <f t="shared" si="43"/>
        <v>0</v>
      </c>
      <c r="BR61" s="234">
        <f t="shared" si="43"/>
        <v>6.5</v>
      </c>
      <c r="BS61" s="234">
        <f t="shared" si="43"/>
        <v>0</v>
      </c>
      <c r="BT61" s="234">
        <f t="shared" si="43"/>
        <v>255.33</v>
      </c>
    </row>
    <row r="62" spans="1:72" ht="16.5" thickBot="1" x14ac:dyDescent="0.3">
      <c r="A62" s="195"/>
      <c r="B62" s="235"/>
      <c r="C62" s="235"/>
      <c r="D62" s="235"/>
      <c r="E62" s="235"/>
      <c r="F62" s="235"/>
      <c r="G62" s="235"/>
      <c r="H62" s="235"/>
      <c r="J62" s="235"/>
      <c r="K62" s="235"/>
      <c r="L62" s="235"/>
      <c r="M62" s="235"/>
      <c r="N62" s="235"/>
      <c r="O62" s="235"/>
      <c r="P62" s="235"/>
      <c r="R62" s="235"/>
      <c r="S62" s="235"/>
      <c r="T62" s="235"/>
      <c r="U62" s="235"/>
      <c r="V62" s="235"/>
      <c r="W62" s="235"/>
      <c r="X62" s="235"/>
      <c r="Z62" s="235"/>
      <c r="AA62" s="235"/>
      <c r="AB62" s="235"/>
      <c r="AC62" s="235"/>
      <c r="AD62" s="235"/>
      <c r="AE62" s="235"/>
      <c r="AF62" s="235"/>
      <c r="AH62" s="235"/>
      <c r="AI62" s="235"/>
      <c r="AJ62" s="235"/>
      <c r="AK62" s="235"/>
      <c r="AL62" s="235"/>
      <c r="AM62" s="235"/>
      <c r="AN62" s="235"/>
      <c r="AP62" s="235"/>
      <c r="AQ62" s="235"/>
      <c r="AR62" s="235"/>
      <c r="AS62" s="235"/>
      <c r="AT62" s="235"/>
      <c r="AU62" s="235"/>
      <c r="AV62" s="235"/>
      <c r="AX62" s="235"/>
      <c r="AY62" s="235"/>
      <c r="AZ62" s="235"/>
      <c r="BA62" s="235"/>
      <c r="BB62" s="235"/>
      <c r="BC62" s="235"/>
      <c r="BD62" s="235"/>
      <c r="BF62" s="235"/>
      <c r="BG62" s="235"/>
      <c r="BH62" s="235"/>
      <c r="BI62" s="235"/>
      <c r="BJ62" s="235"/>
      <c r="BK62" s="235"/>
      <c r="BL62" s="235"/>
      <c r="BN62" s="235"/>
      <c r="BO62" s="235"/>
      <c r="BP62" s="235"/>
      <c r="BQ62" s="235"/>
      <c r="BR62" s="235"/>
      <c r="BS62" s="235"/>
      <c r="BT62" s="235"/>
    </row>
    <row r="63" spans="1:72" x14ac:dyDescent="0.25">
      <c r="A63" s="196" t="s">
        <v>212</v>
      </c>
      <c r="B63" s="236">
        <f>B36+B41+B43+B50</f>
        <v>47</v>
      </c>
      <c r="C63" s="236">
        <f>C36+C41+C43+C50</f>
        <v>9</v>
      </c>
      <c r="D63" s="236">
        <f t="shared" ref="D63:G63" si="44">D36+D41+D43+D50</f>
        <v>0</v>
      </c>
      <c r="E63" s="236">
        <f t="shared" si="44"/>
        <v>0</v>
      </c>
      <c r="F63" s="236">
        <f t="shared" si="44"/>
        <v>1</v>
      </c>
      <c r="G63" s="236">
        <f t="shared" si="44"/>
        <v>0</v>
      </c>
      <c r="H63" s="236">
        <f t="shared" ref="H63" si="45">H36</f>
        <v>47</v>
      </c>
      <c r="J63" s="236">
        <f>J36+J41+J43+J50</f>
        <v>115</v>
      </c>
      <c r="K63" s="236">
        <f>K36+K41+K43+K50</f>
        <v>25</v>
      </c>
      <c r="L63" s="236">
        <f t="shared" ref="L63:O63" si="46">L36+L41+L43+L50</f>
        <v>0</v>
      </c>
      <c r="M63" s="236">
        <f t="shared" si="46"/>
        <v>0</v>
      </c>
      <c r="N63" s="236">
        <f t="shared" si="46"/>
        <v>0</v>
      </c>
      <c r="O63" s="236">
        <f t="shared" si="46"/>
        <v>0</v>
      </c>
      <c r="P63" s="236">
        <f t="shared" ref="P63" si="47">P36</f>
        <v>114</v>
      </c>
      <c r="R63" s="236">
        <f>R36+R41+R43+R50</f>
        <v>51</v>
      </c>
      <c r="S63" s="236">
        <f>S36+S41+S43+S50</f>
        <v>8</v>
      </c>
      <c r="T63" s="236">
        <f t="shared" ref="T63:W63" si="48">T36+T41+T43+T50</f>
        <v>0</v>
      </c>
      <c r="U63" s="236">
        <f t="shared" si="48"/>
        <v>0</v>
      </c>
      <c r="V63" s="236">
        <f t="shared" si="48"/>
        <v>0</v>
      </c>
      <c r="W63" s="236">
        <f t="shared" si="48"/>
        <v>0</v>
      </c>
      <c r="X63" s="236">
        <f t="shared" ref="X63" si="49">X36</f>
        <v>48</v>
      </c>
      <c r="Z63" s="236">
        <f>Z36+Z41+Z43+Z50</f>
        <v>64</v>
      </c>
      <c r="AA63" s="236">
        <f>AA36+AA41+AA43+AA50</f>
        <v>10</v>
      </c>
      <c r="AB63" s="236">
        <f t="shared" ref="AB63:AE63" si="50">AB36+AB41+AB43+AB50</f>
        <v>0</v>
      </c>
      <c r="AC63" s="236">
        <f t="shared" si="50"/>
        <v>0</v>
      </c>
      <c r="AD63" s="236">
        <f t="shared" si="50"/>
        <v>0</v>
      </c>
      <c r="AE63" s="236">
        <f t="shared" si="50"/>
        <v>0</v>
      </c>
      <c r="AF63" s="236">
        <f t="shared" ref="AF63" si="51">AF36</f>
        <v>61</v>
      </c>
      <c r="AH63" s="236">
        <f>AH36+AH41+AH43+AH50</f>
        <v>110</v>
      </c>
      <c r="AI63" s="236">
        <f>AI36+AI41+AI43+AI50</f>
        <v>25</v>
      </c>
      <c r="AJ63" s="236">
        <f t="shared" ref="AJ63:AM63" si="52">AJ36+AJ41+AJ43+AJ50</f>
        <v>0</v>
      </c>
      <c r="AK63" s="236">
        <f t="shared" si="52"/>
        <v>0</v>
      </c>
      <c r="AL63" s="236">
        <f t="shared" si="52"/>
        <v>0</v>
      </c>
      <c r="AM63" s="236">
        <f t="shared" si="52"/>
        <v>0</v>
      </c>
      <c r="AN63" s="236">
        <f t="shared" ref="AN63" si="53">AN36</f>
        <v>116</v>
      </c>
      <c r="AP63" s="236">
        <f>AP36+AP41+AP43+AP50</f>
        <v>37</v>
      </c>
      <c r="AQ63" s="236">
        <f>AQ36+AQ41+AQ43+AQ50</f>
        <v>6.5</v>
      </c>
      <c r="AR63" s="236">
        <f t="shared" ref="AR63:AU63" si="54">AR36+AR41+AR43+AR50</f>
        <v>0</v>
      </c>
      <c r="AS63" s="236">
        <f t="shared" si="54"/>
        <v>0</v>
      </c>
      <c r="AT63" s="236">
        <f t="shared" si="54"/>
        <v>3.5</v>
      </c>
      <c r="AU63" s="236">
        <f t="shared" si="54"/>
        <v>0</v>
      </c>
      <c r="AV63" s="236">
        <f t="shared" ref="AV63" si="55">AV36</f>
        <v>38.5</v>
      </c>
      <c r="AX63" s="236">
        <f>AX36+AX41+AX43+AX50</f>
        <v>4</v>
      </c>
      <c r="AY63" s="236">
        <f>AY36+AY41+AY43+AY50</f>
        <v>2</v>
      </c>
      <c r="AZ63" s="236">
        <f t="shared" ref="AZ63:BC63" si="56">AZ36+AZ41+AZ43+AZ50</f>
        <v>0</v>
      </c>
      <c r="BA63" s="236">
        <f t="shared" si="56"/>
        <v>0</v>
      </c>
      <c r="BB63" s="236">
        <f t="shared" si="56"/>
        <v>1</v>
      </c>
      <c r="BC63" s="236">
        <f t="shared" si="56"/>
        <v>0</v>
      </c>
      <c r="BD63" s="236">
        <f t="shared" ref="BD63" si="57">BD36</f>
        <v>1</v>
      </c>
      <c r="BF63" s="236">
        <f>BF36+BF41+BF43+BF50</f>
        <v>1</v>
      </c>
      <c r="BG63" s="236">
        <f>BG36+BG41+BG43+BG50</f>
        <v>0</v>
      </c>
      <c r="BH63" s="236">
        <f t="shared" ref="BH63:BK63" si="58">BH36+BH41+BH43+BH50</f>
        <v>0</v>
      </c>
      <c r="BI63" s="236">
        <f t="shared" si="58"/>
        <v>0</v>
      </c>
      <c r="BJ63" s="236">
        <f t="shared" si="58"/>
        <v>1</v>
      </c>
      <c r="BK63" s="236">
        <f t="shared" si="58"/>
        <v>0</v>
      </c>
      <c r="BL63" s="236">
        <f t="shared" ref="BL63" si="59">BL36</f>
        <v>1</v>
      </c>
      <c r="BN63" s="236">
        <f>BN36+BN41+BN43+BN50</f>
        <v>429</v>
      </c>
      <c r="BO63" s="236">
        <f>BO36+BO41+BO43+BO50</f>
        <v>85.5</v>
      </c>
      <c r="BP63" s="236">
        <f t="shared" ref="BP63:BS63" si="60">BP36+BP41+BP43+BP50</f>
        <v>0</v>
      </c>
      <c r="BQ63" s="236">
        <f t="shared" si="60"/>
        <v>0</v>
      </c>
      <c r="BR63" s="236">
        <f t="shared" si="60"/>
        <v>6.5</v>
      </c>
      <c r="BS63" s="236">
        <f t="shared" si="60"/>
        <v>0</v>
      </c>
      <c r="BT63" s="236">
        <f t="shared" ref="BT63" si="61">BT36</f>
        <v>426.5</v>
      </c>
    </row>
    <row r="64" spans="1:72" x14ac:dyDescent="0.25">
      <c r="A64" s="197" t="s">
        <v>213</v>
      </c>
      <c r="B64" s="237">
        <f>B61-B41-B43-B50</f>
        <v>13</v>
      </c>
      <c r="C64" s="237">
        <f t="shared" ref="C64:G64" si="62">C61-C41-C43-C50</f>
        <v>1</v>
      </c>
      <c r="D64" s="237">
        <f t="shared" si="62"/>
        <v>2</v>
      </c>
      <c r="E64" s="237">
        <f t="shared" si="62"/>
        <v>0</v>
      </c>
      <c r="F64" s="237">
        <f t="shared" si="62"/>
        <v>0</v>
      </c>
      <c r="G64" s="237">
        <f t="shared" si="62"/>
        <v>0</v>
      </c>
      <c r="H64" s="237">
        <f t="shared" ref="H64" si="63">H61</f>
        <v>26</v>
      </c>
      <c r="J64" s="237">
        <f>J61-J41-J43-J50</f>
        <v>42</v>
      </c>
      <c r="K64" s="237">
        <f t="shared" ref="K64:O64" si="64">K61-K41-K43-K50</f>
        <v>3</v>
      </c>
      <c r="L64" s="237">
        <f t="shared" si="64"/>
        <v>6</v>
      </c>
      <c r="M64" s="237">
        <f t="shared" si="64"/>
        <v>0</v>
      </c>
      <c r="N64" s="237">
        <f t="shared" si="64"/>
        <v>0</v>
      </c>
      <c r="O64" s="237">
        <f t="shared" si="64"/>
        <v>0</v>
      </c>
      <c r="P64" s="237">
        <f t="shared" ref="P64" si="65">P61</f>
        <v>77</v>
      </c>
      <c r="R64" s="237">
        <f>R61-R41-R43-R50</f>
        <v>15.5</v>
      </c>
      <c r="S64" s="237">
        <f t="shared" ref="S64:W64" si="66">S61-S41-S43-S50</f>
        <v>1.5</v>
      </c>
      <c r="T64" s="237">
        <f t="shared" si="66"/>
        <v>2</v>
      </c>
      <c r="U64" s="237">
        <f t="shared" si="66"/>
        <v>0</v>
      </c>
      <c r="V64" s="237">
        <f t="shared" si="66"/>
        <v>0</v>
      </c>
      <c r="W64" s="237">
        <f t="shared" si="66"/>
        <v>0</v>
      </c>
      <c r="X64" s="237">
        <f t="shared" ref="X64" si="67">X61</f>
        <v>30</v>
      </c>
      <c r="Z64" s="237">
        <f>Z61-Z41-Z43-Z50</f>
        <v>13.5</v>
      </c>
      <c r="AA64" s="237">
        <f t="shared" ref="AA64:AE64" si="68">AA61-AA41-AA43-AA50</f>
        <v>2.83</v>
      </c>
      <c r="AB64" s="237">
        <f t="shared" si="68"/>
        <v>2</v>
      </c>
      <c r="AC64" s="237">
        <f t="shared" si="68"/>
        <v>0</v>
      </c>
      <c r="AD64" s="237">
        <f t="shared" si="68"/>
        <v>0</v>
      </c>
      <c r="AE64" s="237">
        <f t="shared" si="68"/>
        <v>0</v>
      </c>
      <c r="AF64" s="237">
        <f t="shared" ref="AF64" si="69">AF61</f>
        <v>31.33</v>
      </c>
      <c r="AH64" s="237">
        <f>AH61-AH41-AH43-AH50</f>
        <v>37</v>
      </c>
      <c r="AI64" s="237">
        <f t="shared" ref="AI64:AM64" si="70">AI61-AI41-AI43-AI50</f>
        <v>1.5</v>
      </c>
      <c r="AJ64" s="237">
        <f t="shared" si="70"/>
        <v>4</v>
      </c>
      <c r="AK64" s="237">
        <f t="shared" si="70"/>
        <v>0</v>
      </c>
      <c r="AL64" s="237">
        <f t="shared" si="70"/>
        <v>0</v>
      </c>
      <c r="AM64" s="237">
        <f t="shared" si="70"/>
        <v>0</v>
      </c>
      <c r="AN64" s="237">
        <f t="shared" ref="AN64" si="71">AN61</f>
        <v>61.5</v>
      </c>
      <c r="AP64" s="237">
        <f>AP61-AP41-AP43-AP50</f>
        <v>8</v>
      </c>
      <c r="AQ64" s="237">
        <f t="shared" ref="AQ64:AU64" si="72">AQ61-AQ41-AQ43-AQ50</f>
        <v>1</v>
      </c>
      <c r="AR64" s="237">
        <f t="shared" si="72"/>
        <v>1</v>
      </c>
      <c r="AS64" s="237">
        <f t="shared" si="72"/>
        <v>0</v>
      </c>
      <c r="AT64" s="237">
        <f t="shared" si="72"/>
        <v>0</v>
      </c>
      <c r="AU64" s="237">
        <f t="shared" si="72"/>
        <v>0</v>
      </c>
      <c r="AV64" s="237">
        <f t="shared" ref="AV64" si="73">AV61</f>
        <v>18.5</v>
      </c>
      <c r="AX64" s="237">
        <f>AX61-AX41-AX43-AX50</f>
        <v>0</v>
      </c>
      <c r="AY64" s="237">
        <f t="shared" ref="AY64:BC64" si="74">AY61-AY41-AY43-AY50</f>
        <v>0</v>
      </c>
      <c r="AZ64" s="237">
        <f t="shared" si="74"/>
        <v>0</v>
      </c>
      <c r="BA64" s="237">
        <f t="shared" si="74"/>
        <v>0</v>
      </c>
      <c r="BB64" s="237">
        <f t="shared" si="74"/>
        <v>0</v>
      </c>
      <c r="BC64" s="237">
        <f t="shared" si="74"/>
        <v>0</v>
      </c>
      <c r="BD64" s="237">
        <f t="shared" ref="BD64" si="75">BD61</f>
        <v>6</v>
      </c>
      <c r="BF64" s="237">
        <f>BF61-BF41-BF43-BF50</f>
        <v>3</v>
      </c>
      <c r="BG64" s="237">
        <f t="shared" ref="BG64:BK64" si="76">BG61-BG41-BG43-BG50</f>
        <v>0</v>
      </c>
      <c r="BH64" s="237">
        <f t="shared" si="76"/>
        <v>1</v>
      </c>
      <c r="BI64" s="237">
        <f t="shared" si="76"/>
        <v>0</v>
      </c>
      <c r="BJ64" s="237">
        <f t="shared" si="76"/>
        <v>0</v>
      </c>
      <c r="BK64" s="237">
        <f t="shared" si="76"/>
        <v>0</v>
      </c>
      <c r="BL64" s="237">
        <f t="shared" ref="BL64" si="77">BL61</f>
        <v>5</v>
      </c>
      <c r="BN64" s="237">
        <f>BN61-BN41-BN43-BN50</f>
        <v>132</v>
      </c>
      <c r="BO64" s="237">
        <f t="shared" ref="BO64:BS64" si="78">BO61-BO41-BO43-BO50</f>
        <v>10.829999999999998</v>
      </c>
      <c r="BP64" s="237">
        <f t="shared" si="78"/>
        <v>18</v>
      </c>
      <c r="BQ64" s="237">
        <f t="shared" si="78"/>
        <v>0</v>
      </c>
      <c r="BR64" s="237">
        <f t="shared" si="78"/>
        <v>0</v>
      </c>
      <c r="BS64" s="237">
        <f t="shared" si="78"/>
        <v>0</v>
      </c>
      <c r="BT64" s="237">
        <f t="shared" ref="BT64" si="79">BT61</f>
        <v>255.33</v>
      </c>
    </row>
    <row r="65" spans="1:72" ht="16.5" thickBot="1" x14ac:dyDescent="0.3">
      <c r="A65" s="198" t="s">
        <v>214</v>
      </c>
      <c r="B65" s="238">
        <f>SUM(B63:B64)</f>
        <v>60</v>
      </c>
      <c r="C65" s="238">
        <f t="shared" ref="C65:G65" si="80">SUM(C63:C64)</f>
        <v>10</v>
      </c>
      <c r="D65" s="238">
        <f t="shared" si="80"/>
        <v>2</v>
      </c>
      <c r="E65" s="238">
        <f t="shared" si="80"/>
        <v>0</v>
      </c>
      <c r="F65" s="238">
        <f t="shared" si="80"/>
        <v>1</v>
      </c>
      <c r="G65" s="238">
        <f t="shared" si="80"/>
        <v>0</v>
      </c>
      <c r="H65" s="238">
        <f>SUM(H63:H64)</f>
        <v>73</v>
      </c>
      <c r="J65" s="238">
        <f>SUM(J63:J64)</f>
        <v>157</v>
      </c>
      <c r="K65" s="238">
        <f t="shared" ref="K65:O65" si="81">SUM(K63:K64)</f>
        <v>28</v>
      </c>
      <c r="L65" s="238">
        <f t="shared" si="81"/>
        <v>6</v>
      </c>
      <c r="M65" s="238">
        <f t="shared" si="81"/>
        <v>0</v>
      </c>
      <c r="N65" s="238">
        <f t="shared" si="81"/>
        <v>0</v>
      </c>
      <c r="O65" s="238">
        <f t="shared" si="81"/>
        <v>0</v>
      </c>
      <c r="P65" s="238">
        <f>SUM(P63:P64)</f>
        <v>191</v>
      </c>
      <c r="R65" s="238">
        <f>SUM(R63:R64)</f>
        <v>66.5</v>
      </c>
      <c r="S65" s="238">
        <f t="shared" ref="S65:W65" si="82">SUM(S63:S64)</f>
        <v>9.5</v>
      </c>
      <c r="T65" s="238">
        <f t="shared" si="82"/>
        <v>2</v>
      </c>
      <c r="U65" s="238">
        <f t="shared" si="82"/>
        <v>0</v>
      </c>
      <c r="V65" s="238">
        <f t="shared" si="82"/>
        <v>0</v>
      </c>
      <c r="W65" s="238">
        <f t="shared" si="82"/>
        <v>0</v>
      </c>
      <c r="X65" s="238">
        <f>SUM(X63:X64)</f>
        <v>78</v>
      </c>
      <c r="Z65" s="238">
        <f>SUM(Z63:Z64)</f>
        <v>77.5</v>
      </c>
      <c r="AA65" s="238">
        <f t="shared" ref="AA65:AE65" si="83">SUM(AA63:AA64)</f>
        <v>12.83</v>
      </c>
      <c r="AB65" s="238">
        <f t="shared" si="83"/>
        <v>2</v>
      </c>
      <c r="AC65" s="238">
        <f t="shared" si="83"/>
        <v>0</v>
      </c>
      <c r="AD65" s="238">
        <f t="shared" si="83"/>
        <v>0</v>
      </c>
      <c r="AE65" s="238">
        <f t="shared" si="83"/>
        <v>0</v>
      </c>
      <c r="AF65" s="238">
        <f>SUM(AF63:AF64)</f>
        <v>92.33</v>
      </c>
      <c r="AH65" s="238">
        <f>SUM(AH63:AH64)</f>
        <v>147</v>
      </c>
      <c r="AI65" s="238">
        <f t="shared" ref="AI65:AM65" si="84">SUM(AI63:AI64)</f>
        <v>26.5</v>
      </c>
      <c r="AJ65" s="238">
        <f t="shared" si="84"/>
        <v>4</v>
      </c>
      <c r="AK65" s="238">
        <f t="shared" si="84"/>
        <v>0</v>
      </c>
      <c r="AL65" s="238">
        <f t="shared" si="84"/>
        <v>0</v>
      </c>
      <c r="AM65" s="238">
        <f t="shared" si="84"/>
        <v>0</v>
      </c>
      <c r="AN65" s="238">
        <f>SUM(AN63:AN64)</f>
        <v>177.5</v>
      </c>
      <c r="AP65" s="238">
        <f>SUM(AP63:AP64)</f>
        <v>45</v>
      </c>
      <c r="AQ65" s="238">
        <f t="shared" ref="AQ65:AU65" si="85">SUM(AQ63:AQ64)</f>
        <v>7.5</v>
      </c>
      <c r="AR65" s="238">
        <f t="shared" si="85"/>
        <v>1</v>
      </c>
      <c r="AS65" s="238">
        <f t="shared" si="85"/>
        <v>0</v>
      </c>
      <c r="AT65" s="238">
        <f t="shared" si="85"/>
        <v>3.5</v>
      </c>
      <c r="AU65" s="238">
        <f t="shared" si="85"/>
        <v>0</v>
      </c>
      <c r="AV65" s="238">
        <f>SUM(AV63:AV64)</f>
        <v>57</v>
      </c>
      <c r="AX65" s="238">
        <f>SUM(AX63:AX64)</f>
        <v>4</v>
      </c>
      <c r="AY65" s="238">
        <f t="shared" ref="AY65:BC65" si="86">SUM(AY63:AY64)</f>
        <v>2</v>
      </c>
      <c r="AZ65" s="238">
        <f t="shared" si="86"/>
        <v>0</v>
      </c>
      <c r="BA65" s="238">
        <f t="shared" si="86"/>
        <v>0</v>
      </c>
      <c r="BB65" s="238">
        <f t="shared" si="86"/>
        <v>1</v>
      </c>
      <c r="BC65" s="238">
        <f t="shared" si="86"/>
        <v>0</v>
      </c>
      <c r="BD65" s="238">
        <f>SUM(BD63:BD64)</f>
        <v>7</v>
      </c>
      <c r="BF65" s="238">
        <f>SUM(BF63:BF64)</f>
        <v>4</v>
      </c>
      <c r="BG65" s="238">
        <f t="shared" ref="BG65:BK65" si="87">SUM(BG63:BG64)</f>
        <v>0</v>
      </c>
      <c r="BH65" s="238">
        <f t="shared" si="87"/>
        <v>1</v>
      </c>
      <c r="BI65" s="238">
        <f t="shared" si="87"/>
        <v>0</v>
      </c>
      <c r="BJ65" s="238">
        <f t="shared" si="87"/>
        <v>1</v>
      </c>
      <c r="BK65" s="238">
        <f t="shared" si="87"/>
        <v>0</v>
      </c>
      <c r="BL65" s="238">
        <f>SUM(BL63:BL64)</f>
        <v>6</v>
      </c>
      <c r="BN65" s="238">
        <f>SUM(BN63:BN64)</f>
        <v>561</v>
      </c>
      <c r="BO65" s="238">
        <f t="shared" ref="BO65:BS65" si="88">SUM(BO63:BO64)</f>
        <v>96.33</v>
      </c>
      <c r="BP65" s="238">
        <f t="shared" si="88"/>
        <v>18</v>
      </c>
      <c r="BQ65" s="238">
        <f t="shared" si="88"/>
        <v>0</v>
      </c>
      <c r="BR65" s="238">
        <f t="shared" si="88"/>
        <v>6.5</v>
      </c>
      <c r="BS65" s="238">
        <f t="shared" si="88"/>
        <v>0</v>
      </c>
      <c r="BT65" s="238">
        <f>SUM(BT63:BT64)</f>
        <v>681.83</v>
      </c>
    </row>
    <row r="66" spans="1:72" ht="16.5" thickBot="1" x14ac:dyDescent="0.3"/>
    <row r="67" spans="1:72" ht="16.5" thickBot="1" x14ac:dyDescent="0.3">
      <c r="A67" s="199"/>
      <c r="B67" s="239" t="s">
        <v>309</v>
      </c>
      <c r="C67" s="239" t="s">
        <v>310</v>
      </c>
      <c r="D67" s="239" t="s">
        <v>311</v>
      </c>
      <c r="E67" s="240" t="str">
        <f>E20</f>
        <v>Other</v>
      </c>
      <c r="F67" s="239" t="s">
        <v>313</v>
      </c>
      <c r="G67" s="239" t="s">
        <v>314</v>
      </c>
      <c r="H67" s="239" t="s">
        <v>59</v>
      </c>
      <c r="J67" s="239" t="s">
        <v>309</v>
      </c>
      <c r="K67" s="239" t="s">
        <v>310</v>
      </c>
      <c r="L67" s="239" t="s">
        <v>311</v>
      </c>
      <c r="M67" s="240" t="str">
        <f>M20</f>
        <v>Other</v>
      </c>
      <c r="N67" s="239" t="s">
        <v>313</v>
      </c>
      <c r="O67" s="239" t="s">
        <v>314</v>
      </c>
      <c r="P67" s="240" t="str">
        <f>P38</f>
        <v>Cadence</v>
      </c>
      <c r="R67" s="239" t="s">
        <v>309</v>
      </c>
      <c r="S67" s="239" t="s">
        <v>310</v>
      </c>
      <c r="T67" s="239" t="s">
        <v>311</v>
      </c>
      <c r="U67" s="240" t="str">
        <f>U20</f>
        <v>Other</v>
      </c>
      <c r="V67" s="239" t="s">
        <v>313</v>
      </c>
      <c r="W67" s="239" t="s">
        <v>314</v>
      </c>
      <c r="X67" s="240" t="str">
        <f>X38</f>
        <v>St. Rose</v>
      </c>
      <c r="Z67" s="239" t="s">
        <v>309</v>
      </c>
      <c r="AA67" s="239" t="s">
        <v>310</v>
      </c>
      <c r="AB67" s="239" t="s">
        <v>311</v>
      </c>
      <c r="AC67" s="240" t="str">
        <f>AC20</f>
        <v>Other</v>
      </c>
      <c r="AD67" s="239" t="s">
        <v>313</v>
      </c>
      <c r="AE67" s="239" t="s">
        <v>314</v>
      </c>
      <c r="AF67" s="240" t="str">
        <f>AF38</f>
        <v>Inspirada</v>
      </c>
      <c r="AH67" s="239" t="s">
        <v>309</v>
      </c>
      <c r="AI67" s="239" t="s">
        <v>310</v>
      </c>
      <c r="AJ67" s="239" t="s">
        <v>311</v>
      </c>
      <c r="AK67" s="240" t="str">
        <f>AK20</f>
        <v>Other</v>
      </c>
      <c r="AL67" s="239" t="s">
        <v>313</v>
      </c>
      <c r="AM67" s="239" t="s">
        <v>314</v>
      </c>
      <c r="AN67" s="240" t="str">
        <f>AN38</f>
        <v>Sloan</v>
      </c>
      <c r="AP67" s="239" t="s">
        <v>309</v>
      </c>
      <c r="AQ67" s="239" t="s">
        <v>310</v>
      </c>
      <c r="AR67" s="239" t="s">
        <v>311</v>
      </c>
      <c r="AS67" s="240" t="str">
        <f>AS20</f>
        <v>Other</v>
      </c>
      <c r="AT67" s="239" t="s">
        <v>313</v>
      </c>
      <c r="AU67" s="239" t="s">
        <v>314</v>
      </c>
      <c r="AV67" s="240" t="str">
        <f>AV38</f>
        <v>Springs</v>
      </c>
      <c r="AX67" s="239" t="s">
        <v>309</v>
      </c>
      <c r="AY67" s="239" t="s">
        <v>310</v>
      </c>
      <c r="AZ67" s="239" t="s">
        <v>311</v>
      </c>
      <c r="BA67" s="240" t="str">
        <f>BA20</f>
        <v>Other</v>
      </c>
      <c r="BB67" s="239" t="s">
        <v>313</v>
      </c>
      <c r="BC67" s="239" t="s">
        <v>314</v>
      </c>
      <c r="BD67" s="240" t="str">
        <f>BD38</f>
        <v>Virtual</v>
      </c>
      <c r="BF67" s="239" t="s">
        <v>309</v>
      </c>
      <c r="BG67" s="239" t="s">
        <v>310</v>
      </c>
      <c r="BH67" s="239" t="s">
        <v>311</v>
      </c>
      <c r="BI67" s="240" t="str">
        <f>BI20</f>
        <v>Other</v>
      </c>
      <c r="BJ67" s="239" t="s">
        <v>313</v>
      </c>
      <c r="BK67" s="239" t="s">
        <v>314</v>
      </c>
      <c r="BL67" s="240" t="str">
        <f>BL38</f>
        <v>Central</v>
      </c>
      <c r="BN67" s="239" t="s">
        <v>309</v>
      </c>
      <c r="BO67" s="239" t="s">
        <v>310</v>
      </c>
      <c r="BP67" s="239" t="s">
        <v>311</v>
      </c>
      <c r="BQ67" s="240" t="str">
        <f>BQ20</f>
        <v>Other</v>
      </c>
      <c r="BR67" s="239" t="s">
        <v>313</v>
      </c>
      <c r="BS67" s="239" t="s">
        <v>314</v>
      </c>
      <c r="BT67" s="240" t="str">
        <f>BT38</f>
        <v>System</v>
      </c>
    </row>
    <row r="68" spans="1:72" x14ac:dyDescent="0.25">
      <c r="A68" s="200" t="s">
        <v>215</v>
      </c>
      <c r="B68" s="241">
        <f>B17*B2</f>
        <v>8927010</v>
      </c>
      <c r="C68" s="241"/>
      <c r="D68" s="241"/>
      <c r="E68" s="241"/>
      <c r="F68" s="241"/>
      <c r="G68" s="241"/>
      <c r="H68" s="241">
        <f>SUM(B68:G68)</f>
        <v>8927010</v>
      </c>
      <c r="J68" s="241">
        <f>J17*J2</f>
        <v>24209820</v>
      </c>
      <c r="K68" s="241"/>
      <c r="L68" s="241"/>
      <c r="M68" s="241"/>
      <c r="N68" s="241"/>
      <c r="O68" s="241"/>
      <c r="P68" s="241">
        <f>SUM(J68:O68)</f>
        <v>24209820</v>
      </c>
      <c r="R68" s="241">
        <f>R17*R2</f>
        <v>9918900</v>
      </c>
      <c r="S68" s="241"/>
      <c r="T68" s="241"/>
      <c r="U68" s="241"/>
      <c r="V68" s="241"/>
      <c r="W68" s="241"/>
      <c r="X68" s="241">
        <f>SUM(R68:W68)</f>
        <v>9918900</v>
      </c>
      <c r="Z68" s="241">
        <f>Z17*Z2</f>
        <v>11536740</v>
      </c>
      <c r="AA68" s="241"/>
      <c r="AB68" s="241"/>
      <c r="AC68" s="241"/>
      <c r="AD68" s="241"/>
      <c r="AE68" s="241"/>
      <c r="AF68" s="241">
        <f>SUM(Z68:AE68)</f>
        <v>11536740</v>
      </c>
      <c r="AH68" s="241">
        <f>AH17*AH2</f>
        <v>24460200</v>
      </c>
      <c r="AI68" s="241"/>
      <c r="AJ68" s="241"/>
      <c r="AK68" s="241"/>
      <c r="AL68" s="241"/>
      <c r="AM68" s="241"/>
      <c r="AN68" s="241">
        <f>SUM(AH68:AM68)</f>
        <v>24460200</v>
      </c>
      <c r="AP68" s="241">
        <f>AP17*AP2</f>
        <v>7838820</v>
      </c>
      <c r="AQ68" s="241"/>
      <c r="AR68" s="241"/>
      <c r="AS68" s="241"/>
      <c r="AT68" s="241"/>
      <c r="AU68" s="241"/>
      <c r="AV68" s="241">
        <f>SUM(AP68:AU68)</f>
        <v>7838820</v>
      </c>
      <c r="AX68" s="241">
        <f>AX17*AX2</f>
        <v>1752660</v>
      </c>
      <c r="AY68" s="241"/>
      <c r="AZ68" s="241"/>
      <c r="BA68" s="241"/>
      <c r="BB68" s="241"/>
      <c r="BC68" s="241"/>
      <c r="BD68" s="241">
        <f>SUM(AX68:BC68)</f>
        <v>1752660</v>
      </c>
      <c r="BF68" s="241"/>
      <c r="BG68" s="241"/>
      <c r="BH68" s="241"/>
      <c r="BI68" s="241"/>
      <c r="BJ68" s="241"/>
      <c r="BK68" s="241"/>
      <c r="BL68" s="241">
        <f>SUM(BF68:BK68)</f>
        <v>0</v>
      </c>
      <c r="BN68" s="241">
        <f>B68+J68+R68+Z68+AH68+AP68+AX68+BF68</f>
        <v>88644150</v>
      </c>
      <c r="BO68" s="241">
        <f t="shared" ref="BO68:BS81" si="89">C68+K68+S68+AA68+AI68+AQ68+AY68+BG68</f>
        <v>0</v>
      </c>
      <c r="BP68" s="241">
        <f t="shared" si="89"/>
        <v>0</v>
      </c>
      <c r="BQ68" s="241">
        <f t="shared" si="89"/>
        <v>0</v>
      </c>
      <c r="BR68" s="241">
        <f t="shared" si="89"/>
        <v>0</v>
      </c>
      <c r="BS68" s="241">
        <f t="shared" si="89"/>
        <v>0</v>
      </c>
      <c r="BT68" s="241">
        <f>SUM(BN68:BS68)</f>
        <v>88644150</v>
      </c>
    </row>
    <row r="69" spans="1:72" x14ac:dyDescent="0.25">
      <c r="A69" s="201" t="s">
        <v>216</v>
      </c>
      <c r="B69" s="242">
        <f>B22*4334</f>
        <v>151690</v>
      </c>
      <c r="C69" s="242"/>
      <c r="D69" s="242"/>
      <c r="E69" s="242"/>
      <c r="F69" s="242"/>
      <c r="G69" s="242"/>
      <c r="H69" s="241">
        <f t="shared" ref="H69:H81" si="90">SUM(B69:G69)</f>
        <v>151690</v>
      </c>
      <c r="J69" s="242">
        <f>J22*4334</f>
        <v>216700</v>
      </c>
      <c r="K69" s="242"/>
      <c r="L69" s="242"/>
      <c r="M69" s="242"/>
      <c r="N69" s="242"/>
      <c r="O69" s="242"/>
      <c r="P69" s="241">
        <f t="shared" ref="P69:P81" si="91">SUM(J69:O69)</f>
        <v>216700</v>
      </c>
      <c r="R69" s="242">
        <f>R22*4334</f>
        <v>95348</v>
      </c>
      <c r="S69" s="242"/>
      <c r="T69" s="242"/>
      <c r="U69" s="242"/>
      <c r="V69" s="242"/>
      <c r="W69" s="242"/>
      <c r="X69" s="241">
        <f t="shared" ref="X69:X81" si="92">SUM(R69:W69)</f>
        <v>95348</v>
      </c>
      <c r="Z69" s="242">
        <f>Z22*4334</f>
        <v>182028</v>
      </c>
      <c r="AA69" s="242"/>
      <c r="AB69" s="242"/>
      <c r="AC69" s="242"/>
      <c r="AD69" s="242"/>
      <c r="AE69" s="242"/>
      <c r="AF69" s="241">
        <f t="shared" ref="AF69:AF81" si="93">SUM(Z69:AE69)</f>
        <v>182028</v>
      </c>
      <c r="AH69" s="242">
        <f>AH22*4334</f>
        <v>195030</v>
      </c>
      <c r="AI69" s="242"/>
      <c r="AJ69" s="242"/>
      <c r="AK69" s="242"/>
      <c r="AL69" s="242"/>
      <c r="AM69" s="242"/>
      <c r="AN69" s="241">
        <f t="shared" ref="AN69:AN81" si="94">SUM(AH69:AM69)</f>
        <v>195030</v>
      </c>
      <c r="AP69" s="242">
        <f>AP22*4334</f>
        <v>195030</v>
      </c>
      <c r="AQ69" s="242"/>
      <c r="AR69" s="242"/>
      <c r="AS69" s="242"/>
      <c r="AT69" s="242"/>
      <c r="AU69" s="242"/>
      <c r="AV69" s="241">
        <f t="shared" ref="AV69:AV81" si="95">SUM(AP69:AU69)</f>
        <v>195030</v>
      </c>
      <c r="AX69" s="242">
        <f>AX22*4334</f>
        <v>8668</v>
      </c>
      <c r="AY69" s="242"/>
      <c r="AZ69" s="242"/>
      <c r="BA69" s="242"/>
      <c r="BB69" s="242"/>
      <c r="BC69" s="242"/>
      <c r="BD69" s="241">
        <f t="shared" ref="BD69:BD81" si="96">SUM(AX69:BC69)</f>
        <v>8668</v>
      </c>
      <c r="BF69" s="242"/>
      <c r="BG69" s="242"/>
      <c r="BH69" s="242"/>
      <c r="BI69" s="242"/>
      <c r="BJ69" s="242"/>
      <c r="BK69" s="242"/>
      <c r="BL69" s="241">
        <f t="shared" ref="BL69:BL81" si="97">SUM(BF69:BK69)</f>
        <v>0</v>
      </c>
      <c r="BN69" s="241">
        <f t="shared" ref="BN69:BN81" si="98">B69+J69+R69+Z69+AH69+AP69+AX69+BF69</f>
        <v>1044494</v>
      </c>
      <c r="BO69" s="241">
        <f t="shared" si="89"/>
        <v>0</v>
      </c>
      <c r="BP69" s="241">
        <f t="shared" si="89"/>
        <v>0</v>
      </c>
      <c r="BQ69" s="241">
        <f t="shared" si="89"/>
        <v>0</v>
      </c>
      <c r="BR69" s="241">
        <f t="shared" si="89"/>
        <v>0</v>
      </c>
      <c r="BS69" s="241">
        <f t="shared" si="89"/>
        <v>0</v>
      </c>
      <c r="BT69" s="241">
        <f t="shared" ref="BT69:BT81" si="99">SUM(BN69:BS69)</f>
        <v>1044494</v>
      </c>
    </row>
    <row r="70" spans="1:72" x14ac:dyDescent="0.25">
      <c r="A70" s="201" t="s">
        <v>217</v>
      </c>
      <c r="B70" s="242">
        <f>B23*1156</f>
        <v>38148</v>
      </c>
      <c r="C70" s="242"/>
      <c r="D70" s="242"/>
      <c r="E70" s="242"/>
      <c r="F70" s="242"/>
      <c r="G70" s="242"/>
      <c r="H70" s="241">
        <f t="shared" si="90"/>
        <v>38148</v>
      </c>
      <c r="J70" s="242">
        <f>J23*1156</f>
        <v>46240</v>
      </c>
      <c r="K70" s="242"/>
      <c r="L70" s="242"/>
      <c r="M70" s="242"/>
      <c r="N70" s="242"/>
      <c r="O70" s="242"/>
      <c r="P70" s="241">
        <f t="shared" si="91"/>
        <v>46240</v>
      </c>
      <c r="R70" s="242">
        <f>R23*1154</f>
        <v>77318</v>
      </c>
      <c r="S70" s="242"/>
      <c r="T70" s="242"/>
      <c r="U70" s="242"/>
      <c r="V70" s="242"/>
      <c r="W70" s="242"/>
      <c r="X70" s="241">
        <f t="shared" si="92"/>
        <v>77318</v>
      </c>
      <c r="Z70" s="242">
        <f>Z23*1154</f>
        <v>64624</v>
      </c>
      <c r="AA70" s="242"/>
      <c r="AB70" s="242"/>
      <c r="AC70" s="242"/>
      <c r="AD70" s="242"/>
      <c r="AE70" s="242"/>
      <c r="AF70" s="241">
        <f t="shared" si="93"/>
        <v>64624</v>
      </c>
      <c r="AH70" s="242">
        <f>AH23*1154</f>
        <v>102706</v>
      </c>
      <c r="AI70" s="242"/>
      <c r="AJ70" s="242"/>
      <c r="AK70" s="242"/>
      <c r="AL70" s="242"/>
      <c r="AM70" s="242"/>
      <c r="AN70" s="241">
        <f t="shared" si="94"/>
        <v>102706</v>
      </c>
      <c r="AP70" s="242">
        <f>AP23*1156</f>
        <v>0</v>
      </c>
      <c r="AQ70" s="242"/>
      <c r="AR70" s="242"/>
      <c r="AS70" s="242"/>
      <c r="AT70" s="242"/>
      <c r="AU70" s="242"/>
      <c r="AV70" s="241">
        <f t="shared" si="95"/>
        <v>0</v>
      </c>
      <c r="AX70" s="242">
        <f>AX23*1130</f>
        <v>0</v>
      </c>
      <c r="AY70" s="242"/>
      <c r="AZ70" s="242"/>
      <c r="BA70" s="242"/>
      <c r="BB70" s="242"/>
      <c r="BC70" s="242"/>
      <c r="BD70" s="241">
        <f t="shared" si="96"/>
        <v>0</v>
      </c>
      <c r="BF70" s="242"/>
      <c r="BG70" s="242"/>
      <c r="BH70" s="242"/>
      <c r="BI70" s="242"/>
      <c r="BJ70" s="242"/>
      <c r="BK70" s="242"/>
      <c r="BL70" s="241">
        <f t="shared" si="97"/>
        <v>0</v>
      </c>
      <c r="BN70" s="241">
        <f t="shared" si="98"/>
        <v>329036</v>
      </c>
      <c r="BO70" s="241">
        <f t="shared" si="89"/>
        <v>0</v>
      </c>
      <c r="BP70" s="241">
        <f t="shared" si="89"/>
        <v>0</v>
      </c>
      <c r="BQ70" s="241">
        <f t="shared" si="89"/>
        <v>0</v>
      </c>
      <c r="BR70" s="241">
        <f t="shared" si="89"/>
        <v>0</v>
      </c>
      <c r="BS70" s="241">
        <f t="shared" si="89"/>
        <v>0</v>
      </c>
      <c r="BT70" s="241">
        <f t="shared" si="99"/>
        <v>329036</v>
      </c>
    </row>
    <row r="71" spans="1:72" x14ac:dyDescent="0.25">
      <c r="A71" s="201" t="s">
        <v>218</v>
      </c>
      <c r="B71" s="242">
        <f>B24*3371</f>
        <v>67420</v>
      </c>
      <c r="C71" s="242"/>
      <c r="D71" s="242"/>
      <c r="E71" s="242"/>
      <c r="F71" s="242"/>
      <c r="G71" s="242"/>
      <c r="H71" s="241">
        <f t="shared" si="90"/>
        <v>67420</v>
      </c>
      <c r="J71" s="242">
        <f>J24*3371</f>
        <v>387665</v>
      </c>
      <c r="K71" s="242"/>
      <c r="L71" s="242"/>
      <c r="M71" s="242"/>
      <c r="N71" s="242"/>
      <c r="O71" s="242"/>
      <c r="P71" s="241">
        <f t="shared" si="91"/>
        <v>387665</v>
      </c>
      <c r="R71" s="242">
        <f>R24*3371</f>
        <v>26968</v>
      </c>
      <c r="S71" s="242"/>
      <c r="T71" s="242"/>
      <c r="U71" s="242"/>
      <c r="V71" s="242"/>
      <c r="W71" s="242"/>
      <c r="X71" s="241">
        <f t="shared" si="92"/>
        <v>26968</v>
      </c>
      <c r="Z71" s="242">
        <f>Z24*3371</f>
        <v>0</v>
      </c>
      <c r="AA71" s="242"/>
      <c r="AB71" s="242"/>
      <c r="AC71" s="242"/>
      <c r="AD71" s="242"/>
      <c r="AE71" s="242"/>
      <c r="AF71" s="241">
        <f t="shared" si="93"/>
        <v>0</v>
      </c>
      <c r="AH71" s="242">
        <f>AH24*3371</f>
        <v>269680</v>
      </c>
      <c r="AI71" s="242"/>
      <c r="AJ71" s="242"/>
      <c r="AK71" s="242"/>
      <c r="AL71" s="242"/>
      <c r="AM71" s="242"/>
      <c r="AN71" s="241">
        <f t="shared" si="94"/>
        <v>269680</v>
      </c>
      <c r="AP71" s="242">
        <f>AP24*3371</f>
        <v>219115</v>
      </c>
      <c r="AQ71" s="242"/>
      <c r="AR71" s="242"/>
      <c r="AS71" s="242"/>
      <c r="AT71" s="242"/>
      <c r="AU71" s="242"/>
      <c r="AV71" s="241">
        <f t="shared" si="95"/>
        <v>219115</v>
      </c>
      <c r="AX71" s="242">
        <f>AX24*3371</f>
        <v>50565</v>
      </c>
      <c r="AY71" s="242"/>
      <c r="AZ71" s="242"/>
      <c r="BA71" s="242"/>
      <c r="BB71" s="242"/>
      <c r="BC71" s="242"/>
      <c r="BD71" s="241">
        <f t="shared" si="96"/>
        <v>50565</v>
      </c>
      <c r="BF71" s="242"/>
      <c r="BG71" s="242"/>
      <c r="BH71" s="242"/>
      <c r="BI71" s="242"/>
      <c r="BJ71" s="242"/>
      <c r="BK71" s="242"/>
      <c r="BL71" s="241">
        <f t="shared" si="97"/>
        <v>0</v>
      </c>
      <c r="BN71" s="241">
        <f t="shared" si="98"/>
        <v>1021413</v>
      </c>
      <c r="BO71" s="241">
        <f t="shared" si="89"/>
        <v>0</v>
      </c>
      <c r="BP71" s="241">
        <f t="shared" si="89"/>
        <v>0</v>
      </c>
      <c r="BQ71" s="241">
        <f t="shared" si="89"/>
        <v>0</v>
      </c>
      <c r="BR71" s="241">
        <f t="shared" si="89"/>
        <v>0</v>
      </c>
      <c r="BS71" s="241">
        <f t="shared" si="89"/>
        <v>0</v>
      </c>
      <c r="BT71" s="241">
        <f t="shared" si="99"/>
        <v>1021413</v>
      </c>
    </row>
    <row r="72" spans="1:72" x14ac:dyDescent="0.25">
      <c r="A72" s="201" t="s">
        <v>219</v>
      </c>
      <c r="B72" s="242">
        <v>250000</v>
      </c>
      <c r="C72" s="242"/>
      <c r="D72" s="242"/>
      <c r="E72" s="242"/>
      <c r="F72" s="242"/>
      <c r="G72" s="242"/>
      <c r="H72" s="241">
        <f t="shared" si="90"/>
        <v>250000</v>
      </c>
      <c r="J72" s="242">
        <v>610000</v>
      </c>
      <c r="K72" s="242"/>
      <c r="L72" s="242"/>
      <c r="M72" s="242"/>
      <c r="N72" s="242"/>
      <c r="O72" s="242"/>
      <c r="P72" s="241">
        <f t="shared" si="91"/>
        <v>610000</v>
      </c>
      <c r="R72" s="242">
        <v>240000</v>
      </c>
      <c r="S72" s="242"/>
      <c r="T72" s="242"/>
      <c r="U72" s="242"/>
      <c r="V72" s="242"/>
      <c r="W72" s="242"/>
      <c r="X72" s="241">
        <f t="shared" si="92"/>
        <v>240000</v>
      </c>
      <c r="Z72" s="242">
        <v>285000</v>
      </c>
      <c r="AA72" s="242"/>
      <c r="AB72" s="242"/>
      <c r="AC72" s="242"/>
      <c r="AD72" s="242"/>
      <c r="AE72" s="242"/>
      <c r="AF72" s="241">
        <f t="shared" si="93"/>
        <v>285000</v>
      </c>
      <c r="AH72" s="242">
        <v>585000</v>
      </c>
      <c r="AI72" s="242"/>
      <c r="AJ72" s="242"/>
      <c r="AK72" s="242"/>
      <c r="AL72" s="242"/>
      <c r="AM72" s="242"/>
      <c r="AN72" s="241">
        <f t="shared" si="94"/>
        <v>585000</v>
      </c>
      <c r="AP72" s="242">
        <v>135000</v>
      </c>
      <c r="AQ72" s="242"/>
      <c r="AR72" s="242"/>
      <c r="AS72" s="242"/>
      <c r="AT72" s="242"/>
      <c r="AU72" s="242"/>
      <c r="AV72" s="241">
        <f t="shared" si="95"/>
        <v>135000</v>
      </c>
      <c r="AX72" s="242">
        <v>37126</v>
      </c>
      <c r="AY72" s="242"/>
      <c r="AZ72" s="242"/>
      <c r="BA72" s="242"/>
      <c r="BB72" s="242"/>
      <c r="BC72" s="242"/>
      <c r="BD72" s="241">
        <f t="shared" si="96"/>
        <v>37126</v>
      </c>
      <c r="BF72" s="242"/>
      <c r="BG72" s="242"/>
      <c r="BH72" s="242"/>
      <c r="BI72" s="242"/>
      <c r="BJ72" s="242"/>
      <c r="BK72" s="242"/>
      <c r="BL72" s="241"/>
      <c r="BN72" s="241">
        <f t="shared" si="98"/>
        <v>2142126</v>
      </c>
      <c r="BO72" s="241">
        <f t="shared" si="89"/>
        <v>0</v>
      </c>
      <c r="BP72" s="241">
        <f t="shared" si="89"/>
        <v>0</v>
      </c>
      <c r="BQ72" s="241">
        <f t="shared" si="89"/>
        <v>0</v>
      </c>
      <c r="BR72" s="241">
        <f t="shared" si="89"/>
        <v>0</v>
      </c>
      <c r="BS72" s="241">
        <f t="shared" si="89"/>
        <v>0</v>
      </c>
      <c r="BT72" s="241">
        <f t="shared" si="99"/>
        <v>2142126</v>
      </c>
    </row>
    <row r="73" spans="1:72" x14ac:dyDescent="0.25">
      <c r="A73" s="201" t="s">
        <v>220</v>
      </c>
      <c r="B73" s="242"/>
      <c r="C73" s="242">
        <v>151884</v>
      </c>
      <c r="D73" s="242"/>
      <c r="E73" s="242"/>
      <c r="F73" s="242"/>
      <c r="G73" s="242"/>
      <c r="H73" s="241">
        <f t="shared" si="90"/>
        <v>151884</v>
      </c>
      <c r="J73" s="242"/>
      <c r="K73" s="242">
        <v>411906</v>
      </c>
      <c r="L73" s="242"/>
      <c r="M73" s="242"/>
      <c r="N73" s="242"/>
      <c r="O73" s="242"/>
      <c r="P73" s="241">
        <f t="shared" si="91"/>
        <v>411906</v>
      </c>
      <c r="R73" s="242"/>
      <c r="S73" s="242">
        <v>168760</v>
      </c>
      <c r="T73" s="242"/>
      <c r="U73" s="242"/>
      <c r="V73" s="242"/>
      <c r="W73" s="242"/>
      <c r="X73" s="241">
        <f t="shared" si="92"/>
        <v>168760</v>
      </c>
      <c r="Z73" s="242"/>
      <c r="AA73" s="242">
        <v>196286</v>
      </c>
      <c r="AB73" s="242"/>
      <c r="AC73" s="242"/>
      <c r="AD73" s="242"/>
      <c r="AE73" s="242"/>
      <c r="AF73" s="241">
        <f t="shared" si="93"/>
        <v>196286</v>
      </c>
      <c r="AH73" s="242"/>
      <c r="AI73" s="242">
        <v>416166</v>
      </c>
      <c r="AJ73" s="242"/>
      <c r="AK73" s="242"/>
      <c r="AL73" s="242"/>
      <c r="AM73" s="242"/>
      <c r="AN73" s="241">
        <f t="shared" si="94"/>
        <v>416166</v>
      </c>
      <c r="AP73" s="242"/>
      <c r="AQ73" s="242">
        <v>132058</v>
      </c>
      <c r="AR73" s="242"/>
      <c r="AS73" s="242"/>
      <c r="AT73" s="242"/>
      <c r="AU73" s="242"/>
      <c r="AV73" s="241">
        <f t="shared" si="95"/>
        <v>132058</v>
      </c>
      <c r="AX73" s="242"/>
      <c r="AY73" s="243">
        <v>22938</v>
      </c>
      <c r="AZ73" s="242"/>
      <c r="BA73" s="242"/>
      <c r="BB73" s="242"/>
      <c r="BC73" s="242"/>
      <c r="BD73" s="241">
        <f t="shared" si="96"/>
        <v>22938</v>
      </c>
      <c r="BF73" s="242"/>
      <c r="BG73" s="242"/>
      <c r="BH73" s="242"/>
      <c r="BI73" s="242"/>
      <c r="BJ73" s="242"/>
      <c r="BK73" s="242"/>
      <c r="BL73" s="241">
        <f t="shared" si="97"/>
        <v>0</v>
      </c>
      <c r="BN73" s="241">
        <f t="shared" si="98"/>
        <v>0</v>
      </c>
      <c r="BO73" s="241">
        <f t="shared" si="89"/>
        <v>1499998</v>
      </c>
      <c r="BP73" s="241">
        <f t="shared" si="89"/>
        <v>0</v>
      </c>
      <c r="BQ73" s="241">
        <f t="shared" si="89"/>
        <v>0</v>
      </c>
      <c r="BR73" s="241">
        <f t="shared" si="89"/>
        <v>0</v>
      </c>
      <c r="BS73" s="241">
        <f t="shared" si="89"/>
        <v>0</v>
      </c>
      <c r="BT73" s="241">
        <f t="shared" si="99"/>
        <v>1499998</v>
      </c>
    </row>
    <row r="74" spans="1:72" x14ac:dyDescent="0.25">
      <c r="A74" s="201" t="s">
        <v>221</v>
      </c>
      <c r="B74" s="244"/>
      <c r="C74" s="244">
        <f>3800*C21</f>
        <v>425600</v>
      </c>
      <c r="D74" s="244"/>
      <c r="E74" s="244"/>
      <c r="F74" s="244"/>
      <c r="G74" s="244"/>
      <c r="H74" s="241">
        <f t="shared" si="90"/>
        <v>425600</v>
      </c>
      <c r="J74" s="244"/>
      <c r="K74" s="244">
        <f>3800*K21</f>
        <v>1083000</v>
      </c>
      <c r="L74" s="244"/>
      <c r="M74" s="244"/>
      <c r="N74" s="244"/>
      <c r="O74" s="244"/>
      <c r="P74" s="241">
        <f t="shared" si="91"/>
        <v>1083000</v>
      </c>
      <c r="R74" s="244"/>
      <c r="S74" s="244">
        <f>3800*S21</f>
        <v>304000</v>
      </c>
      <c r="T74" s="244"/>
      <c r="U74" s="244"/>
      <c r="V74" s="244"/>
      <c r="W74" s="244"/>
      <c r="X74" s="241">
        <f t="shared" si="92"/>
        <v>304000</v>
      </c>
      <c r="Z74" s="244"/>
      <c r="AA74" s="244">
        <f>3800*AA21</f>
        <v>380000</v>
      </c>
      <c r="AB74" s="244"/>
      <c r="AC74" s="244"/>
      <c r="AD74" s="244"/>
      <c r="AE74" s="244"/>
      <c r="AF74" s="241">
        <f t="shared" si="93"/>
        <v>380000</v>
      </c>
      <c r="AH74" s="244"/>
      <c r="AI74" s="244">
        <f>3800*AI21</f>
        <v>817000</v>
      </c>
      <c r="AJ74" s="244"/>
      <c r="AK74" s="244"/>
      <c r="AL74" s="244"/>
      <c r="AM74" s="244"/>
      <c r="AN74" s="241">
        <f t="shared" si="94"/>
        <v>817000</v>
      </c>
      <c r="AP74" s="244"/>
      <c r="AQ74" s="244">
        <f>3800*AQ21</f>
        <v>319200</v>
      </c>
      <c r="AR74" s="244"/>
      <c r="AS74" s="244"/>
      <c r="AT74" s="244"/>
      <c r="AU74" s="244"/>
      <c r="AV74" s="241">
        <f t="shared" si="95"/>
        <v>319200</v>
      </c>
      <c r="AX74" s="244"/>
      <c r="AY74" s="244">
        <f>3700*AY21</f>
        <v>77700</v>
      </c>
      <c r="AZ74" s="244"/>
      <c r="BA74" s="244"/>
      <c r="BB74" s="244"/>
      <c r="BC74" s="244"/>
      <c r="BD74" s="241">
        <f t="shared" si="96"/>
        <v>77700</v>
      </c>
      <c r="BF74" s="242"/>
      <c r="BG74" s="242"/>
      <c r="BH74" s="242"/>
      <c r="BI74" s="242"/>
      <c r="BJ74" s="242"/>
      <c r="BK74" s="242"/>
      <c r="BL74" s="241">
        <f t="shared" si="97"/>
        <v>0</v>
      </c>
      <c r="BN74" s="241">
        <f t="shared" si="98"/>
        <v>0</v>
      </c>
      <c r="BO74" s="241">
        <f t="shared" si="89"/>
        <v>3406500</v>
      </c>
      <c r="BP74" s="241">
        <f t="shared" si="89"/>
        <v>0</v>
      </c>
      <c r="BQ74" s="241">
        <f t="shared" si="89"/>
        <v>0</v>
      </c>
      <c r="BR74" s="241">
        <f t="shared" si="89"/>
        <v>0</v>
      </c>
      <c r="BS74" s="241">
        <f t="shared" si="89"/>
        <v>0</v>
      </c>
      <c r="BT74" s="241">
        <f t="shared" si="99"/>
        <v>3406500</v>
      </c>
    </row>
    <row r="75" spans="1:72" x14ac:dyDescent="0.25">
      <c r="A75" s="201" t="s">
        <v>222</v>
      </c>
      <c r="B75" s="244"/>
      <c r="C75" s="244">
        <v>109558</v>
      </c>
      <c r="D75" s="244"/>
      <c r="E75" s="244"/>
      <c r="F75" s="244"/>
      <c r="G75" s="244"/>
      <c r="H75" s="241">
        <f t="shared" si="90"/>
        <v>109558</v>
      </c>
      <c r="J75" s="244"/>
      <c r="K75" s="244">
        <v>278785</v>
      </c>
      <c r="L75" s="244"/>
      <c r="M75" s="244"/>
      <c r="N75" s="244"/>
      <c r="O75" s="244"/>
      <c r="P75" s="241">
        <f t="shared" si="91"/>
        <v>278785</v>
      </c>
      <c r="R75" s="244"/>
      <c r="S75" s="244">
        <v>78255</v>
      </c>
      <c r="T75" s="244"/>
      <c r="U75" s="244"/>
      <c r="V75" s="244"/>
      <c r="W75" s="244"/>
      <c r="X75" s="241">
        <f t="shared" si="92"/>
        <v>78255</v>
      </c>
      <c r="Z75" s="244"/>
      <c r="AA75" s="244">
        <v>97820</v>
      </c>
      <c r="AB75" s="244"/>
      <c r="AC75" s="244"/>
      <c r="AD75" s="244"/>
      <c r="AE75" s="244"/>
      <c r="AF75" s="241">
        <f t="shared" si="93"/>
        <v>97820</v>
      </c>
      <c r="AH75" s="244"/>
      <c r="AI75" s="244">
        <v>192705</v>
      </c>
      <c r="AJ75" s="244"/>
      <c r="AK75" s="244"/>
      <c r="AL75" s="244"/>
      <c r="AM75" s="244"/>
      <c r="AN75" s="241">
        <f t="shared" si="94"/>
        <v>192705</v>
      </c>
      <c r="AP75" s="244"/>
      <c r="AQ75" s="244">
        <v>27390</v>
      </c>
      <c r="AR75" s="244"/>
      <c r="AS75" s="244"/>
      <c r="AT75" s="244"/>
      <c r="AU75" s="244"/>
      <c r="AV75" s="241">
        <f t="shared" si="95"/>
        <v>27390</v>
      </c>
      <c r="AX75" s="244"/>
      <c r="AY75" s="244">
        <v>20542</v>
      </c>
      <c r="AZ75" s="244"/>
      <c r="BA75" s="244"/>
      <c r="BB75" s="244"/>
      <c r="BC75" s="244"/>
      <c r="BD75" s="241">
        <f t="shared" si="96"/>
        <v>20542</v>
      </c>
      <c r="BF75" s="242"/>
      <c r="BG75" s="242"/>
      <c r="BH75" s="242"/>
      <c r="BI75" s="242"/>
      <c r="BJ75" s="242"/>
      <c r="BK75" s="242"/>
      <c r="BL75" s="241">
        <f t="shared" si="97"/>
        <v>0</v>
      </c>
      <c r="BN75" s="241">
        <f t="shared" si="98"/>
        <v>0</v>
      </c>
      <c r="BO75" s="241">
        <f t="shared" si="89"/>
        <v>805055</v>
      </c>
      <c r="BP75" s="241">
        <f t="shared" si="89"/>
        <v>0</v>
      </c>
      <c r="BQ75" s="241">
        <f t="shared" si="89"/>
        <v>0</v>
      </c>
      <c r="BR75" s="241">
        <f t="shared" si="89"/>
        <v>0</v>
      </c>
      <c r="BS75" s="241">
        <f t="shared" si="89"/>
        <v>0</v>
      </c>
      <c r="BT75" s="241">
        <f t="shared" si="99"/>
        <v>805055</v>
      </c>
    </row>
    <row r="76" spans="1:72" x14ac:dyDescent="0.25">
      <c r="A76" s="201" t="s">
        <v>223</v>
      </c>
      <c r="B76" s="242">
        <v>65000</v>
      </c>
      <c r="C76" s="244"/>
      <c r="D76" s="244"/>
      <c r="E76" s="244"/>
      <c r="F76" s="244"/>
      <c r="G76" s="244"/>
      <c r="H76" s="241">
        <f t="shared" si="90"/>
        <v>65000</v>
      </c>
      <c r="J76" s="242">
        <v>187500</v>
      </c>
      <c r="K76" s="244"/>
      <c r="L76" s="244"/>
      <c r="M76" s="244"/>
      <c r="N76" s="244"/>
      <c r="O76" s="244"/>
      <c r="P76" s="241">
        <f t="shared" si="91"/>
        <v>187500</v>
      </c>
      <c r="R76" s="242">
        <v>65000</v>
      </c>
      <c r="S76" s="244"/>
      <c r="T76" s="244"/>
      <c r="U76" s="244"/>
      <c r="V76" s="244"/>
      <c r="W76" s="244"/>
      <c r="X76" s="241">
        <f t="shared" si="92"/>
        <v>65000</v>
      </c>
      <c r="Z76" s="242">
        <v>65000</v>
      </c>
      <c r="AA76" s="244"/>
      <c r="AB76" s="244"/>
      <c r="AC76" s="244"/>
      <c r="AD76" s="244"/>
      <c r="AE76" s="244"/>
      <c r="AF76" s="241">
        <f t="shared" si="93"/>
        <v>65000</v>
      </c>
      <c r="AH76" s="242">
        <v>187500</v>
      </c>
      <c r="AI76" s="244"/>
      <c r="AJ76" s="244"/>
      <c r="AK76" s="244"/>
      <c r="AL76" s="244"/>
      <c r="AM76" s="244"/>
      <c r="AN76" s="241">
        <f t="shared" si="94"/>
        <v>187500</v>
      </c>
      <c r="AP76" s="242">
        <v>30000</v>
      </c>
      <c r="AQ76" s="244"/>
      <c r="AR76" s="244"/>
      <c r="AS76" s="244"/>
      <c r="AT76" s="244"/>
      <c r="AU76" s="244"/>
      <c r="AV76" s="241">
        <f t="shared" si="95"/>
        <v>30000</v>
      </c>
      <c r="AX76" s="242">
        <v>0</v>
      </c>
      <c r="AY76" s="242"/>
      <c r="AZ76" s="242"/>
      <c r="BA76" s="244"/>
      <c r="BB76" s="244"/>
      <c r="BC76" s="244"/>
      <c r="BD76" s="241">
        <f t="shared" si="96"/>
        <v>0</v>
      </c>
      <c r="BF76" s="242">
        <f>55000*12</f>
        <v>660000</v>
      </c>
      <c r="BG76" s="242"/>
      <c r="BH76" s="242"/>
      <c r="BI76" s="242"/>
      <c r="BJ76" s="242"/>
      <c r="BK76" s="242"/>
      <c r="BL76" s="241">
        <f t="shared" si="97"/>
        <v>660000</v>
      </c>
      <c r="BN76" s="241">
        <f t="shared" si="98"/>
        <v>1260000</v>
      </c>
      <c r="BO76" s="241">
        <f t="shared" si="89"/>
        <v>0</v>
      </c>
      <c r="BP76" s="241">
        <f t="shared" si="89"/>
        <v>0</v>
      </c>
      <c r="BQ76" s="241">
        <f t="shared" si="89"/>
        <v>0</v>
      </c>
      <c r="BR76" s="241">
        <f t="shared" si="89"/>
        <v>0</v>
      </c>
      <c r="BS76" s="241">
        <f t="shared" si="89"/>
        <v>0</v>
      </c>
      <c r="BT76" s="241">
        <f t="shared" si="99"/>
        <v>1260000</v>
      </c>
    </row>
    <row r="77" spans="1:72" x14ac:dyDescent="0.25">
      <c r="A77" s="201" t="s">
        <v>224</v>
      </c>
      <c r="B77" s="244"/>
      <c r="C77" s="244"/>
      <c r="D77" s="244"/>
      <c r="E77" s="244"/>
      <c r="F77" s="244">
        <f>78480+18732</f>
        <v>97212</v>
      </c>
      <c r="G77" s="244"/>
      <c r="H77" s="241">
        <f t="shared" si="90"/>
        <v>97212</v>
      </c>
      <c r="J77" s="244"/>
      <c r="K77" s="244"/>
      <c r="L77" s="244"/>
      <c r="M77" s="244"/>
      <c r="N77" s="244">
        <v>49770</v>
      </c>
      <c r="O77" s="244"/>
      <c r="P77" s="241">
        <f t="shared" si="91"/>
        <v>49770</v>
      </c>
      <c r="R77" s="244"/>
      <c r="S77" s="244"/>
      <c r="T77" s="244"/>
      <c r="U77" s="244"/>
      <c r="V77" s="244">
        <v>0</v>
      </c>
      <c r="W77" s="244"/>
      <c r="X77" s="241">
        <f t="shared" si="92"/>
        <v>0</v>
      </c>
      <c r="Z77" s="244"/>
      <c r="AA77" s="244"/>
      <c r="AB77" s="244"/>
      <c r="AC77" s="244"/>
      <c r="AD77" s="244"/>
      <c r="AE77" s="244"/>
      <c r="AF77" s="241">
        <f t="shared" si="93"/>
        <v>0</v>
      </c>
      <c r="AH77" s="244"/>
      <c r="AI77" s="244"/>
      <c r="AJ77" s="244"/>
      <c r="AK77" s="244"/>
      <c r="AL77" s="244"/>
      <c r="AM77" s="244"/>
      <c r="AN77" s="241">
        <f t="shared" si="94"/>
        <v>0</v>
      </c>
      <c r="AP77" s="244"/>
      <c r="AQ77" s="244"/>
      <c r="AR77" s="244"/>
      <c r="AS77" s="244"/>
      <c r="AT77" s="244">
        <f>160000+5000</f>
        <v>165000</v>
      </c>
      <c r="AU77" s="244"/>
      <c r="AV77" s="241">
        <f t="shared" si="95"/>
        <v>165000</v>
      </c>
      <c r="AX77" s="242"/>
      <c r="AY77" s="242"/>
      <c r="AZ77" s="242"/>
      <c r="BA77" s="244"/>
      <c r="BB77" s="244">
        <v>23520</v>
      </c>
      <c r="BC77" s="244"/>
      <c r="BD77" s="241">
        <f t="shared" si="96"/>
        <v>23520</v>
      </c>
      <c r="BF77" s="242"/>
      <c r="BG77" s="242"/>
      <c r="BH77" s="242"/>
      <c r="BI77" s="242"/>
      <c r="BJ77" s="242">
        <f>145235+192192+290000+120000</f>
        <v>747427</v>
      </c>
      <c r="BK77" s="242"/>
      <c r="BL77" s="241">
        <f t="shared" si="97"/>
        <v>747427</v>
      </c>
      <c r="BN77" s="241">
        <f t="shared" si="98"/>
        <v>0</v>
      </c>
      <c r="BO77" s="241">
        <f t="shared" si="89"/>
        <v>0</v>
      </c>
      <c r="BP77" s="241">
        <f t="shared" si="89"/>
        <v>0</v>
      </c>
      <c r="BQ77" s="241">
        <f t="shared" si="89"/>
        <v>0</v>
      </c>
      <c r="BR77" s="241">
        <f t="shared" si="89"/>
        <v>1082929</v>
      </c>
      <c r="BS77" s="241">
        <f t="shared" si="89"/>
        <v>0</v>
      </c>
      <c r="BT77" s="241">
        <f t="shared" si="99"/>
        <v>1082929</v>
      </c>
    </row>
    <row r="78" spans="1:72" x14ac:dyDescent="0.25">
      <c r="A78" s="201" t="s">
        <v>225</v>
      </c>
      <c r="B78" s="244"/>
      <c r="C78" s="244"/>
      <c r="D78" s="244"/>
      <c r="E78" s="244"/>
      <c r="F78" s="244"/>
      <c r="G78" s="244">
        <v>0</v>
      </c>
      <c r="H78" s="241">
        <f t="shared" si="90"/>
        <v>0</v>
      </c>
      <c r="J78" s="244">
        <f>AX163</f>
        <v>145600</v>
      </c>
      <c r="K78" s="244"/>
      <c r="L78" s="244"/>
      <c r="M78" s="244"/>
      <c r="N78" s="244"/>
      <c r="O78" s="244">
        <v>0</v>
      </c>
      <c r="P78" s="241">
        <f t="shared" si="91"/>
        <v>145600</v>
      </c>
      <c r="R78" s="244"/>
      <c r="S78" s="244"/>
      <c r="T78" s="244"/>
      <c r="U78" s="244"/>
      <c r="V78" s="244"/>
      <c r="W78" s="244">
        <v>0</v>
      </c>
      <c r="X78" s="241">
        <f t="shared" si="92"/>
        <v>0</v>
      </c>
      <c r="Z78" s="244"/>
      <c r="AA78" s="244"/>
      <c r="AB78" s="244"/>
      <c r="AC78" s="244"/>
      <c r="AD78" s="244"/>
      <c r="AE78" s="244">
        <v>0</v>
      </c>
      <c r="AF78" s="241">
        <f t="shared" si="93"/>
        <v>0</v>
      </c>
      <c r="AH78" s="244"/>
      <c r="AI78" s="244"/>
      <c r="AJ78" s="244"/>
      <c r="AK78" s="244"/>
      <c r="AL78" s="244"/>
      <c r="AM78" s="244">
        <v>0</v>
      </c>
      <c r="AN78" s="241">
        <f t="shared" si="94"/>
        <v>0</v>
      </c>
      <c r="AP78" s="244"/>
      <c r="AQ78" s="244"/>
      <c r="AR78" s="244"/>
      <c r="AS78" s="244"/>
      <c r="AT78" s="244"/>
      <c r="AU78" s="244">
        <v>0</v>
      </c>
      <c r="AV78" s="241">
        <f t="shared" si="95"/>
        <v>0</v>
      </c>
      <c r="AX78" s="242"/>
      <c r="AY78" s="242"/>
      <c r="AZ78" s="242"/>
      <c r="BA78" s="244"/>
      <c r="BB78" s="244"/>
      <c r="BC78" s="244">
        <v>0</v>
      </c>
      <c r="BD78" s="241">
        <f t="shared" si="96"/>
        <v>0</v>
      </c>
      <c r="BF78" s="242">
        <v>0</v>
      </c>
      <c r="BG78" s="242"/>
      <c r="BH78" s="242"/>
      <c r="BI78" s="242"/>
      <c r="BJ78" s="242"/>
      <c r="BK78" s="242"/>
      <c r="BL78" s="241">
        <f t="shared" si="97"/>
        <v>0</v>
      </c>
      <c r="BN78" s="241">
        <f t="shared" si="98"/>
        <v>145600</v>
      </c>
      <c r="BO78" s="241">
        <f t="shared" si="89"/>
        <v>0</v>
      </c>
      <c r="BP78" s="241">
        <f t="shared" si="89"/>
        <v>0</v>
      </c>
      <c r="BQ78" s="241">
        <f t="shared" si="89"/>
        <v>0</v>
      </c>
      <c r="BR78" s="241">
        <f t="shared" si="89"/>
        <v>0</v>
      </c>
      <c r="BS78" s="241">
        <f t="shared" si="89"/>
        <v>0</v>
      </c>
      <c r="BT78" s="241">
        <f t="shared" si="99"/>
        <v>145600</v>
      </c>
    </row>
    <row r="79" spans="1:72" x14ac:dyDescent="0.25">
      <c r="A79" s="201" t="s">
        <v>226</v>
      </c>
      <c r="B79" s="244"/>
      <c r="C79" s="244"/>
      <c r="D79" s="244"/>
      <c r="E79" s="244"/>
      <c r="F79" s="244"/>
      <c r="G79" s="244">
        <v>300000</v>
      </c>
      <c r="H79" s="241">
        <f t="shared" si="90"/>
        <v>300000</v>
      </c>
      <c r="J79" s="244"/>
      <c r="K79" s="244"/>
      <c r="L79" s="244"/>
      <c r="M79" s="244"/>
      <c r="N79" s="244"/>
      <c r="O79" s="244">
        <v>1500000</v>
      </c>
      <c r="P79" s="241">
        <f t="shared" si="91"/>
        <v>1500000</v>
      </c>
      <c r="R79" s="244"/>
      <c r="S79" s="244"/>
      <c r="T79" s="244"/>
      <c r="U79" s="244"/>
      <c r="V79" s="244"/>
      <c r="W79" s="244">
        <v>850000</v>
      </c>
      <c r="X79" s="241">
        <f t="shared" si="92"/>
        <v>850000</v>
      </c>
      <c r="Z79" s="244"/>
      <c r="AA79" s="244"/>
      <c r="AB79" s="244"/>
      <c r="AC79" s="244"/>
      <c r="AD79" s="244"/>
      <c r="AE79" s="244">
        <v>900000</v>
      </c>
      <c r="AF79" s="241">
        <f t="shared" si="93"/>
        <v>900000</v>
      </c>
      <c r="AH79" s="244"/>
      <c r="AI79" s="244"/>
      <c r="AJ79" s="244"/>
      <c r="AK79" s="244"/>
      <c r="AL79" s="244"/>
      <c r="AM79" s="244">
        <v>2500000</v>
      </c>
      <c r="AN79" s="241">
        <f t="shared" si="94"/>
        <v>2500000</v>
      </c>
      <c r="AP79" s="244"/>
      <c r="AQ79" s="244"/>
      <c r="AR79" s="244"/>
      <c r="AS79" s="244"/>
      <c r="AT79" s="244"/>
      <c r="AU79" s="244">
        <v>100000</v>
      </c>
      <c r="AV79" s="241">
        <f t="shared" si="95"/>
        <v>100000</v>
      </c>
      <c r="AX79" s="242"/>
      <c r="AY79" s="242"/>
      <c r="AZ79" s="242"/>
      <c r="BA79" s="244"/>
      <c r="BB79" s="244"/>
      <c r="BC79" s="244">
        <v>25000</v>
      </c>
      <c r="BD79" s="241">
        <f t="shared" si="96"/>
        <v>25000</v>
      </c>
      <c r="BF79" s="242"/>
      <c r="BG79" s="242"/>
      <c r="BH79" s="242"/>
      <c r="BI79" s="242"/>
      <c r="BJ79" s="242"/>
      <c r="BK79" s="242"/>
      <c r="BL79" s="241">
        <f t="shared" si="97"/>
        <v>0</v>
      </c>
      <c r="BN79" s="241">
        <f t="shared" si="98"/>
        <v>0</v>
      </c>
      <c r="BO79" s="241">
        <f t="shared" si="89"/>
        <v>0</v>
      </c>
      <c r="BP79" s="241">
        <f t="shared" si="89"/>
        <v>0</v>
      </c>
      <c r="BQ79" s="241">
        <f t="shared" si="89"/>
        <v>0</v>
      </c>
      <c r="BR79" s="241">
        <f t="shared" si="89"/>
        <v>0</v>
      </c>
      <c r="BS79" s="241">
        <f t="shared" si="89"/>
        <v>6175000</v>
      </c>
      <c r="BT79" s="241">
        <f t="shared" si="99"/>
        <v>6175000</v>
      </c>
    </row>
    <row r="80" spans="1:72" x14ac:dyDescent="0.25">
      <c r="A80" s="201" t="s">
        <v>227</v>
      </c>
      <c r="B80" s="244"/>
      <c r="C80" s="244"/>
      <c r="D80" s="242">
        <f>((125*2.47)*180)</f>
        <v>55575</v>
      </c>
      <c r="E80" s="244"/>
      <c r="F80" s="244"/>
      <c r="G80" s="244"/>
      <c r="H80" s="241">
        <f t="shared" si="90"/>
        <v>55575</v>
      </c>
      <c r="J80" s="244"/>
      <c r="K80" s="244"/>
      <c r="L80" s="242">
        <f>((200*2.47)*180)</f>
        <v>88920.000000000015</v>
      </c>
      <c r="M80" s="244"/>
      <c r="N80" s="244"/>
      <c r="O80" s="244"/>
      <c r="P80" s="241">
        <f t="shared" si="91"/>
        <v>88920.000000000015</v>
      </c>
      <c r="R80" s="244"/>
      <c r="S80" s="244"/>
      <c r="T80" s="242">
        <v>0</v>
      </c>
      <c r="U80" s="244"/>
      <c r="V80" s="244"/>
      <c r="W80" s="244"/>
      <c r="X80" s="241">
        <f t="shared" si="92"/>
        <v>0</v>
      </c>
      <c r="Z80" s="244"/>
      <c r="AA80" s="244"/>
      <c r="AB80" s="242">
        <v>0</v>
      </c>
      <c r="AC80" s="244"/>
      <c r="AD80" s="244"/>
      <c r="AE80" s="244"/>
      <c r="AF80" s="241">
        <f t="shared" si="93"/>
        <v>0</v>
      </c>
      <c r="AH80" s="244"/>
      <c r="AI80" s="244"/>
      <c r="AJ80" s="242">
        <v>0</v>
      </c>
      <c r="AK80" s="244"/>
      <c r="AL80" s="244"/>
      <c r="AM80" s="244"/>
      <c r="AN80" s="241">
        <f t="shared" si="94"/>
        <v>0</v>
      </c>
      <c r="AP80" s="244"/>
      <c r="AQ80" s="244"/>
      <c r="AR80" s="242">
        <f>(((240*0.9)*2.47)*180)+(((240*0.1)*0.45)*180)</f>
        <v>97977.60000000002</v>
      </c>
      <c r="AS80" s="244"/>
      <c r="AT80" s="244"/>
      <c r="AU80" s="244"/>
      <c r="AV80" s="241">
        <f t="shared" si="95"/>
        <v>97977.60000000002</v>
      </c>
      <c r="AX80" s="242"/>
      <c r="AY80" s="242"/>
      <c r="AZ80" s="242">
        <v>0</v>
      </c>
      <c r="BA80" s="244"/>
      <c r="BB80" s="244"/>
      <c r="BC80" s="244"/>
      <c r="BD80" s="241">
        <f t="shared" si="96"/>
        <v>0</v>
      </c>
      <c r="BF80" s="242"/>
      <c r="BG80" s="242"/>
      <c r="BH80" s="242"/>
      <c r="BI80" s="242"/>
      <c r="BJ80" s="242"/>
      <c r="BK80" s="242"/>
      <c r="BL80" s="241">
        <f t="shared" si="97"/>
        <v>0</v>
      </c>
      <c r="BN80" s="241">
        <f t="shared" si="98"/>
        <v>0</v>
      </c>
      <c r="BO80" s="241">
        <f t="shared" si="89"/>
        <v>0</v>
      </c>
      <c r="BP80" s="241">
        <f t="shared" si="89"/>
        <v>242472.60000000003</v>
      </c>
      <c r="BQ80" s="241">
        <f t="shared" si="89"/>
        <v>0</v>
      </c>
      <c r="BR80" s="241">
        <f t="shared" si="89"/>
        <v>0</v>
      </c>
      <c r="BS80" s="241">
        <f t="shared" si="89"/>
        <v>0</v>
      </c>
      <c r="BT80" s="241">
        <f t="shared" si="99"/>
        <v>242472.60000000003</v>
      </c>
    </row>
    <row r="81" spans="1:72" x14ac:dyDescent="0.25">
      <c r="A81" s="202" t="s">
        <v>228</v>
      </c>
      <c r="B81" s="245"/>
      <c r="C81" s="245"/>
      <c r="D81" s="242">
        <f>(5.11*25*180)+(50*4.22*180)+(175*4.62*180)</f>
        <v>206505</v>
      </c>
      <c r="E81" s="245"/>
      <c r="F81" s="245"/>
      <c r="G81" s="245"/>
      <c r="H81" s="241">
        <f t="shared" si="90"/>
        <v>206505</v>
      </c>
      <c r="J81" s="245"/>
      <c r="K81" s="245"/>
      <c r="L81" s="242">
        <f>(5.11*75*180)+(150*4.22*180)+(300*4.62*180)</f>
        <v>432405</v>
      </c>
      <c r="M81" s="245"/>
      <c r="N81" s="245"/>
      <c r="O81" s="245"/>
      <c r="P81" s="241">
        <f t="shared" si="91"/>
        <v>432405</v>
      </c>
      <c r="R81" s="245"/>
      <c r="S81" s="245"/>
      <c r="T81" s="242">
        <f>(5.11*55*180)+(19*4.22*180)+(91*4.62*180)</f>
        <v>140697</v>
      </c>
      <c r="U81" s="245"/>
      <c r="V81" s="245"/>
      <c r="W81" s="245"/>
      <c r="X81" s="241">
        <f t="shared" si="92"/>
        <v>140697</v>
      </c>
      <c r="Z81" s="245"/>
      <c r="AA81" s="245"/>
      <c r="AB81" s="242">
        <f>(5.11*64*180)+((2*4.22*180)+(39*4.62*180))</f>
        <v>92818.8</v>
      </c>
      <c r="AC81" s="245"/>
      <c r="AD81" s="245"/>
      <c r="AE81" s="245"/>
      <c r="AF81" s="241">
        <f t="shared" si="93"/>
        <v>92818.8</v>
      </c>
      <c r="AH81" s="245"/>
      <c r="AI81" s="245"/>
      <c r="AJ81" s="242">
        <f>(5.11*136*180)+(20*4.22*180)+(119*4.62*180)</f>
        <v>239245.19999999998</v>
      </c>
      <c r="AK81" s="245"/>
      <c r="AL81" s="245"/>
      <c r="AM81" s="245"/>
      <c r="AN81" s="241">
        <f t="shared" si="94"/>
        <v>239245.19999999998</v>
      </c>
      <c r="AP81" s="245"/>
      <c r="AQ81" s="245"/>
      <c r="AR81" s="242">
        <f>(((590*0.9)*4.57)*180)+(((590*0.1)*0.53)*180)</f>
        <v>442429.2</v>
      </c>
      <c r="AS81" s="245"/>
      <c r="AT81" s="245"/>
      <c r="AU81" s="245"/>
      <c r="AV81" s="241">
        <f t="shared" si="95"/>
        <v>442429.2</v>
      </c>
      <c r="AX81" s="282"/>
      <c r="AY81" s="282"/>
      <c r="AZ81" s="242"/>
      <c r="BA81" s="245"/>
      <c r="BB81" s="245"/>
      <c r="BC81" s="245"/>
      <c r="BD81" s="241">
        <f t="shared" si="96"/>
        <v>0</v>
      </c>
      <c r="BF81" s="282"/>
      <c r="BG81" s="282"/>
      <c r="BH81" s="242"/>
      <c r="BI81" s="282"/>
      <c r="BJ81" s="282"/>
      <c r="BK81" s="282"/>
      <c r="BL81" s="241">
        <f t="shared" si="97"/>
        <v>0</v>
      </c>
      <c r="BN81" s="241">
        <f t="shared" si="98"/>
        <v>0</v>
      </c>
      <c r="BO81" s="241">
        <f t="shared" si="89"/>
        <v>0</v>
      </c>
      <c r="BP81" s="241">
        <f t="shared" si="89"/>
        <v>1554100.2</v>
      </c>
      <c r="BQ81" s="241">
        <f t="shared" si="89"/>
        <v>0</v>
      </c>
      <c r="BR81" s="241">
        <f t="shared" si="89"/>
        <v>0</v>
      </c>
      <c r="BS81" s="241">
        <f t="shared" si="89"/>
        <v>0</v>
      </c>
      <c r="BT81" s="241">
        <f t="shared" si="99"/>
        <v>1554100.2</v>
      </c>
    </row>
    <row r="82" spans="1:72" x14ac:dyDescent="0.25">
      <c r="A82" s="203"/>
      <c r="B82" s="246">
        <f>SUM(B68:B81)</f>
        <v>9499268</v>
      </c>
      <c r="C82" s="246">
        <f t="shared" ref="C82:G82" si="100">SUM(C68:C81)</f>
        <v>687042</v>
      </c>
      <c r="D82" s="246">
        <f t="shared" si="100"/>
        <v>262080</v>
      </c>
      <c r="E82" s="246">
        <f t="shared" si="100"/>
        <v>0</v>
      </c>
      <c r="F82" s="246">
        <f t="shared" si="100"/>
        <v>97212</v>
      </c>
      <c r="G82" s="246">
        <f t="shared" si="100"/>
        <v>300000</v>
      </c>
      <c r="H82" s="246">
        <f>SUM(H68:H81)</f>
        <v>10845602</v>
      </c>
      <c r="J82" s="246">
        <f>SUM(J68:J81)</f>
        <v>25803525</v>
      </c>
      <c r="K82" s="246">
        <f t="shared" ref="K82:O82" si="101">SUM(K68:K81)</f>
        <v>1773691</v>
      </c>
      <c r="L82" s="246">
        <f t="shared" si="101"/>
        <v>521325</v>
      </c>
      <c r="M82" s="246">
        <f t="shared" si="101"/>
        <v>0</v>
      </c>
      <c r="N82" s="246">
        <f t="shared" si="101"/>
        <v>49770</v>
      </c>
      <c r="O82" s="246">
        <f t="shared" si="101"/>
        <v>1500000</v>
      </c>
      <c r="P82" s="246">
        <f>SUM(P68:P81)</f>
        <v>29648311</v>
      </c>
      <c r="R82" s="246">
        <f>SUM(R68:R81)</f>
        <v>10423534</v>
      </c>
      <c r="S82" s="246">
        <f t="shared" ref="S82:W82" si="102">SUM(S68:S81)</f>
        <v>551015</v>
      </c>
      <c r="T82" s="246">
        <f t="shared" si="102"/>
        <v>140697</v>
      </c>
      <c r="U82" s="246">
        <f t="shared" si="102"/>
        <v>0</v>
      </c>
      <c r="V82" s="246">
        <f t="shared" si="102"/>
        <v>0</v>
      </c>
      <c r="W82" s="246">
        <f t="shared" si="102"/>
        <v>850000</v>
      </c>
      <c r="X82" s="246">
        <f>SUM(X68:X81)</f>
        <v>11965246</v>
      </c>
      <c r="Z82" s="246">
        <f>SUM(Z68:Z81)</f>
        <v>12133392</v>
      </c>
      <c r="AA82" s="246">
        <f t="shared" ref="AA82:AE82" si="103">SUM(AA68:AA81)</f>
        <v>674106</v>
      </c>
      <c r="AB82" s="246">
        <f t="shared" si="103"/>
        <v>92818.8</v>
      </c>
      <c r="AC82" s="246">
        <f t="shared" si="103"/>
        <v>0</v>
      </c>
      <c r="AD82" s="246">
        <f t="shared" si="103"/>
        <v>0</v>
      </c>
      <c r="AE82" s="246">
        <f t="shared" si="103"/>
        <v>900000</v>
      </c>
      <c r="AF82" s="246">
        <f>SUM(AF68:AF81)</f>
        <v>13800316.800000001</v>
      </c>
      <c r="AH82" s="246">
        <f>SUM(AH68:AH81)</f>
        <v>25800116</v>
      </c>
      <c r="AI82" s="246">
        <f t="shared" ref="AI82:AM82" si="104">SUM(AI68:AI81)</f>
        <v>1425871</v>
      </c>
      <c r="AJ82" s="246">
        <f t="shared" si="104"/>
        <v>239245.19999999998</v>
      </c>
      <c r="AK82" s="246">
        <f t="shared" si="104"/>
        <v>0</v>
      </c>
      <c r="AL82" s="246">
        <f t="shared" si="104"/>
        <v>0</v>
      </c>
      <c r="AM82" s="246">
        <f t="shared" si="104"/>
        <v>2500000</v>
      </c>
      <c r="AN82" s="246">
        <f>SUM(AN68:AN81)</f>
        <v>29965232.199999999</v>
      </c>
      <c r="AP82" s="246">
        <f>SUM(AP68:AP81)</f>
        <v>8417965</v>
      </c>
      <c r="AQ82" s="246">
        <f t="shared" ref="AQ82:AU82" si="105">SUM(AQ68:AQ81)</f>
        <v>478648</v>
      </c>
      <c r="AR82" s="246">
        <f t="shared" si="105"/>
        <v>540406.80000000005</v>
      </c>
      <c r="AS82" s="246">
        <f t="shared" si="105"/>
        <v>0</v>
      </c>
      <c r="AT82" s="246">
        <f t="shared" si="105"/>
        <v>165000</v>
      </c>
      <c r="AU82" s="246">
        <f t="shared" si="105"/>
        <v>100000</v>
      </c>
      <c r="AV82" s="246">
        <f>SUM(AV68:AV81)</f>
        <v>9702019.7999999989</v>
      </c>
      <c r="AX82" s="246">
        <f>SUM(AX68:AX81)</f>
        <v>1849019</v>
      </c>
      <c r="AY82" s="246">
        <f t="shared" ref="AY82:BC82" si="106">SUM(AY68:AY81)</f>
        <v>121180</v>
      </c>
      <c r="AZ82" s="246">
        <f t="shared" si="106"/>
        <v>0</v>
      </c>
      <c r="BA82" s="246">
        <f t="shared" si="106"/>
        <v>0</v>
      </c>
      <c r="BB82" s="246">
        <f t="shared" si="106"/>
        <v>23520</v>
      </c>
      <c r="BC82" s="246">
        <f t="shared" si="106"/>
        <v>25000</v>
      </c>
      <c r="BD82" s="246">
        <f>SUM(BD68:BD81)</f>
        <v>2018719</v>
      </c>
      <c r="BF82" s="246">
        <f>SUM(BF68:BF81)</f>
        <v>660000</v>
      </c>
      <c r="BG82" s="246">
        <f t="shared" ref="BG82:BK82" si="107">SUM(BG68:BG81)</f>
        <v>0</v>
      </c>
      <c r="BH82" s="246">
        <f t="shared" si="107"/>
        <v>0</v>
      </c>
      <c r="BI82" s="246">
        <f t="shared" si="107"/>
        <v>0</v>
      </c>
      <c r="BJ82" s="246">
        <f t="shared" si="107"/>
        <v>747427</v>
      </c>
      <c r="BK82" s="246">
        <f t="shared" si="107"/>
        <v>0</v>
      </c>
      <c r="BL82" s="246">
        <f>SUM(BL68:BL81)</f>
        <v>1407427</v>
      </c>
      <c r="BN82" s="246">
        <f>SUM(BN68:BN81)</f>
        <v>94586819</v>
      </c>
      <c r="BO82" s="246">
        <f t="shared" ref="BO82:BS82" si="108">SUM(BO68:BO81)</f>
        <v>5711553</v>
      </c>
      <c r="BP82" s="246">
        <f t="shared" si="108"/>
        <v>1796572.8</v>
      </c>
      <c r="BQ82" s="246">
        <f t="shared" si="108"/>
        <v>0</v>
      </c>
      <c r="BR82" s="246">
        <f t="shared" si="108"/>
        <v>1082929</v>
      </c>
      <c r="BS82" s="246">
        <f t="shared" si="108"/>
        <v>6175000</v>
      </c>
      <c r="BT82" s="246">
        <f>SUM(BT68:BT81)</f>
        <v>109352873.8</v>
      </c>
    </row>
    <row r="84" spans="1:72" x14ac:dyDescent="0.25">
      <c r="A84" s="204"/>
      <c r="B84" s="247" t="s">
        <v>309</v>
      </c>
      <c r="C84" s="247" t="s">
        <v>310</v>
      </c>
      <c r="D84" s="247" t="s">
        <v>311</v>
      </c>
      <c r="E84" s="248" t="str">
        <f>E67</f>
        <v>Other</v>
      </c>
      <c r="F84" s="247" t="s">
        <v>313</v>
      </c>
      <c r="G84" s="247" t="s">
        <v>314</v>
      </c>
      <c r="H84" s="247" t="s">
        <v>59</v>
      </c>
      <c r="J84" s="247" t="s">
        <v>309</v>
      </c>
      <c r="K84" s="247" t="s">
        <v>310</v>
      </c>
      <c r="L84" s="247" t="s">
        <v>311</v>
      </c>
      <c r="M84" s="248" t="str">
        <f>M67</f>
        <v>Other</v>
      </c>
      <c r="N84" s="247" t="s">
        <v>313</v>
      </c>
      <c r="O84" s="247" t="s">
        <v>314</v>
      </c>
      <c r="P84" s="248" t="str">
        <f>P67</f>
        <v>Cadence</v>
      </c>
      <c r="R84" s="247" t="s">
        <v>309</v>
      </c>
      <c r="S84" s="247" t="s">
        <v>310</v>
      </c>
      <c r="T84" s="247" t="s">
        <v>311</v>
      </c>
      <c r="U84" s="248" t="str">
        <f>U67</f>
        <v>Other</v>
      </c>
      <c r="V84" s="247" t="s">
        <v>313</v>
      </c>
      <c r="W84" s="247" t="s">
        <v>314</v>
      </c>
      <c r="X84" s="248" t="str">
        <f>X67</f>
        <v>St. Rose</v>
      </c>
      <c r="Z84" s="247" t="s">
        <v>309</v>
      </c>
      <c r="AA84" s="247" t="s">
        <v>310</v>
      </c>
      <c r="AB84" s="247" t="s">
        <v>311</v>
      </c>
      <c r="AC84" s="248" t="str">
        <f>AC67</f>
        <v>Other</v>
      </c>
      <c r="AD84" s="247" t="s">
        <v>313</v>
      </c>
      <c r="AE84" s="247" t="s">
        <v>314</v>
      </c>
      <c r="AF84" s="248" t="str">
        <f>AF67</f>
        <v>Inspirada</v>
      </c>
      <c r="AH84" s="247" t="s">
        <v>309</v>
      </c>
      <c r="AI84" s="247" t="s">
        <v>310</v>
      </c>
      <c r="AJ84" s="247" t="s">
        <v>311</v>
      </c>
      <c r="AK84" s="248" t="str">
        <f>AK67</f>
        <v>Other</v>
      </c>
      <c r="AL84" s="247" t="s">
        <v>313</v>
      </c>
      <c r="AM84" s="247" t="s">
        <v>314</v>
      </c>
      <c r="AN84" s="248" t="str">
        <f>AN67</f>
        <v>Sloan</v>
      </c>
      <c r="AP84" s="247" t="s">
        <v>309</v>
      </c>
      <c r="AQ84" s="247" t="s">
        <v>310</v>
      </c>
      <c r="AR84" s="247" t="s">
        <v>311</v>
      </c>
      <c r="AS84" s="248" t="str">
        <f>AS67</f>
        <v>Other</v>
      </c>
      <c r="AT84" s="247" t="s">
        <v>313</v>
      </c>
      <c r="AU84" s="247" t="s">
        <v>314</v>
      </c>
      <c r="AV84" s="248" t="str">
        <f>AV67</f>
        <v>Springs</v>
      </c>
      <c r="AX84" s="247" t="s">
        <v>309</v>
      </c>
      <c r="AY84" s="247" t="s">
        <v>310</v>
      </c>
      <c r="AZ84" s="247" t="s">
        <v>311</v>
      </c>
      <c r="BA84" s="248" t="str">
        <f>BA67</f>
        <v>Other</v>
      </c>
      <c r="BB84" s="247" t="s">
        <v>313</v>
      </c>
      <c r="BC84" s="247" t="s">
        <v>314</v>
      </c>
      <c r="BD84" s="248" t="str">
        <f>BD67</f>
        <v>Virtual</v>
      </c>
      <c r="BF84" s="247" t="s">
        <v>309</v>
      </c>
      <c r="BG84" s="247" t="s">
        <v>310</v>
      </c>
      <c r="BH84" s="247" t="s">
        <v>311</v>
      </c>
      <c r="BI84" s="248" t="str">
        <f>BI67</f>
        <v>Other</v>
      </c>
      <c r="BJ84" s="247" t="s">
        <v>313</v>
      </c>
      <c r="BK84" s="247" t="s">
        <v>314</v>
      </c>
      <c r="BL84" s="248" t="str">
        <f>BL67</f>
        <v>Central</v>
      </c>
      <c r="BN84" s="247" t="s">
        <v>309</v>
      </c>
      <c r="BO84" s="247" t="s">
        <v>310</v>
      </c>
      <c r="BP84" s="247" t="s">
        <v>311</v>
      </c>
      <c r="BQ84" s="248" t="str">
        <f>BQ67</f>
        <v>Other</v>
      </c>
      <c r="BR84" s="247" t="s">
        <v>313</v>
      </c>
      <c r="BS84" s="247" t="s">
        <v>314</v>
      </c>
      <c r="BT84" s="248" t="str">
        <f>BT67</f>
        <v>System</v>
      </c>
    </row>
    <row r="85" spans="1:72" x14ac:dyDescent="0.25">
      <c r="A85" s="200" t="s">
        <v>229</v>
      </c>
      <c r="B85" s="249"/>
      <c r="C85" s="249"/>
      <c r="D85" s="249"/>
      <c r="E85" s="257"/>
      <c r="F85" s="249"/>
      <c r="G85" s="249"/>
      <c r="H85" s="241">
        <f>SUM(B85:G85)</f>
        <v>0</v>
      </c>
      <c r="J85" s="249"/>
      <c r="K85" s="249"/>
      <c r="L85" s="249"/>
      <c r="M85" s="257"/>
      <c r="N85" s="249"/>
      <c r="O85" s="249"/>
      <c r="P85" s="241">
        <f>SUM(J85:O85)</f>
        <v>0</v>
      </c>
      <c r="R85" s="249"/>
      <c r="S85" s="249"/>
      <c r="T85" s="249"/>
      <c r="U85" s="257"/>
      <c r="V85" s="249"/>
      <c r="W85" s="249"/>
      <c r="X85" s="241">
        <f>SUM(R85:W85)</f>
        <v>0</v>
      </c>
      <c r="Z85" s="249"/>
      <c r="AA85" s="249"/>
      <c r="AB85" s="249"/>
      <c r="AC85" s="257"/>
      <c r="AD85" s="249"/>
      <c r="AE85" s="249"/>
      <c r="AF85" s="241">
        <f>SUM(Z85:AE85)</f>
        <v>0</v>
      </c>
      <c r="AH85" s="249"/>
      <c r="AI85" s="249"/>
      <c r="AJ85" s="249"/>
      <c r="AK85" s="257"/>
      <c r="AL85" s="249"/>
      <c r="AM85" s="249"/>
      <c r="AN85" s="241">
        <f>SUM(AH85:AM85)</f>
        <v>0</v>
      </c>
      <c r="AP85" s="249"/>
      <c r="AQ85" s="249"/>
      <c r="AR85" s="249"/>
      <c r="AS85" s="257"/>
      <c r="AT85" s="249"/>
      <c r="AU85" s="249"/>
      <c r="AV85" s="241">
        <f>SUM(AP85:AU85)</f>
        <v>0</v>
      </c>
      <c r="AX85" s="249"/>
      <c r="AY85" s="249"/>
      <c r="AZ85" s="249"/>
      <c r="BA85" s="249"/>
      <c r="BB85" s="249"/>
      <c r="BC85" s="249"/>
      <c r="BD85" s="241">
        <f>SUM(AX85:BC85)</f>
        <v>0</v>
      </c>
      <c r="BF85" s="257"/>
      <c r="BG85" s="257"/>
      <c r="BH85" s="257"/>
      <c r="BI85" s="257">
        <v>0</v>
      </c>
      <c r="BJ85" s="257"/>
      <c r="BK85" s="257"/>
      <c r="BL85" s="241">
        <f>SUM(BF85:BK85)</f>
        <v>0</v>
      </c>
      <c r="BN85" s="241">
        <f>B85+J85+R85+Z85+AH85+AP85+AX85+BF85</f>
        <v>0</v>
      </c>
      <c r="BO85" s="241">
        <f t="shared" ref="BO85:BS87" si="109">C85+K85+S85+AA85+AI85+AQ85+AY85+BG85</f>
        <v>0</v>
      </c>
      <c r="BP85" s="241">
        <f t="shared" si="109"/>
        <v>0</v>
      </c>
      <c r="BQ85" s="241">
        <f t="shared" si="109"/>
        <v>0</v>
      </c>
      <c r="BR85" s="241">
        <f t="shared" si="109"/>
        <v>0</v>
      </c>
      <c r="BS85" s="241">
        <f t="shared" si="109"/>
        <v>0</v>
      </c>
      <c r="BT85" s="241">
        <f>SUM(BN85:BS85)</f>
        <v>0</v>
      </c>
    </row>
    <row r="86" spans="1:72" x14ac:dyDescent="0.25">
      <c r="A86" s="201" t="s">
        <v>230</v>
      </c>
      <c r="B86" s="250"/>
      <c r="C86" s="250"/>
      <c r="D86" s="250"/>
      <c r="E86" s="250"/>
      <c r="F86" s="250"/>
      <c r="G86" s="250"/>
      <c r="H86" s="241">
        <f t="shared" ref="H86:H87" si="110">SUM(B86:G86)</f>
        <v>0</v>
      </c>
      <c r="J86" s="250"/>
      <c r="K86" s="250"/>
      <c r="L86" s="250"/>
      <c r="M86" s="250"/>
      <c r="N86" s="250"/>
      <c r="O86" s="250"/>
      <c r="P86" s="241">
        <f t="shared" ref="P86:P87" si="111">SUM(J86:O86)</f>
        <v>0</v>
      </c>
      <c r="R86" s="250"/>
      <c r="S86" s="250"/>
      <c r="T86" s="250"/>
      <c r="U86" s="250"/>
      <c r="V86" s="250"/>
      <c r="W86" s="250"/>
      <c r="X86" s="241">
        <f t="shared" ref="X86:X87" si="112">SUM(R86:W86)</f>
        <v>0</v>
      </c>
      <c r="Z86" s="250"/>
      <c r="AA86" s="250"/>
      <c r="AB86" s="250"/>
      <c r="AC86" s="250"/>
      <c r="AD86" s="250"/>
      <c r="AE86" s="250"/>
      <c r="AF86" s="241">
        <f t="shared" ref="AF86:AF87" si="113">SUM(Z86:AE86)</f>
        <v>0</v>
      </c>
      <c r="AH86" s="250"/>
      <c r="AI86" s="250"/>
      <c r="AJ86" s="250"/>
      <c r="AK86" s="250"/>
      <c r="AL86" s="250"/>
      <c r="AM86" s="250"/>
      <c r="AN86" s="241">
        <f t="shared" ref="AN86:AN87" si="114">SUM(AH86:AM86)</f>
        <v>0</v>
      </c>
      <c r="AP86" s="250"/>
      <c r="AQ86" s="250"/>
      <c r="AR86" s="250"/>
      <c r="AS86" s="244"/>
      <c r="AT86" s="250"/>
      <c r="AU86" s="250"/>
      <c r="AV86" s="241">
        <f t="shared" ref="AV86:AV87" si="115">SUM(AP86:AU86)</f>
        <v>0</v>
      </c>
      <c r="AX86" s="250"/>
      <c r="AY86" s="250"/>
      <c r="AZ86" s="250"/>
      <c r="BA86" s="250"/>
      <c r="BB86" s="250"/>
      <c r="BC86" s="250"/>
      <c r="BD86" s="241">
        <f t="shared" ref="BD86:BD87" si="116">SUM(AX86:BC86)</f>
        <v>0</v>
      </c>
      <c r="BF86" s="244"/>
      <c r="BG86" s="244"/>
      <c r="BH86" s="244"/>
      <c r="BI86" s="244"/>
      <c r="BJ86" s="244"/>
      <c r="BK86" s="244"/>
      <c r="BL86" s="241">
        <f t="shared" ref="BL86:BL87" si="117">SUM(BF86:BK86)</f>
        <v>0</v>
      </c>
      <c r="BN86" s="241">
        <f t="shared" ref="BN86:BN87" si="118">B86+J86+R86+Z86+AH86+AP86+AX86+BF86</f>
        <v>0</v>
      </c>
      <c r="BO86" s="241">
        <f t="shared" si="109"/>
        <v>0</v>
      </c>
      <c r="BP86" s="241">
        <f t="shared" si="109"/>
        <v>0</v>
      </c>
      <c r="BQ86" s="241">
        <f t="shared" si="109"/>
        <v>0</v>
      </c>
      <c r="BR86" s="241">
        <f t="shared" si="109"/>
        <v>0</v>
      </c>
      <c r="BS86" s="241">
        <f t="shared" si="109"/>
        <v>0</v>
      </c>
      <c r="BT86" s="241">
        <f t="shared" ref="BT86:BT87" si="119">SUM(BN86:BS86)</f>
        <v>0</v>
      </c>
    </row>
    <row r="87" spans="1:72" x14ac:dyDescent="0.25">
      <c r="A87" s="202" t="s">
        <v>231</v>
      </c>
      <c r="B87" s="251"/>
      <c r="C87" s="251"/>
      <c r="D87" s="251"/>
      <c r="E87" s="251"/>
      <c r="F87" s="251"/>
      <c r="G87" s="251"/>
      <c r="H87" s="241">
        <f t="shared" si="110"/>
        <v>0</v>
      </c>
      <c r="J87" s="251"/>
      <c r="K87" s="251"/>
      <c r="L87" s="251"/>
      <c r="M87" s="251"/>
      <c r="N87" s="251"/>
      <c r="O87" s="251"/>
      <c r="P87" s="241">
        <f t="shared" si="111"/>
        <v>0</v>
      </c>
      <c r="R87" s="251"/>
      <c r="S87" s="251"/>
      <c r="T87" s="251"/>
      <c r="U87" s="251"/>
      <c r="V87" s="251"/>
      <c r="W87" s="251"/>
      <c r="X87" s="241">
        <f t="shared" si="112"/>
        <v>0</v>
      </c>
      <c r="Z87" s="251"/>
      <c r="AA87" s="251"/>
      <c r="AB87" s="251"/>
      <c r="AC87" s="251"/>
      <c r="AD87" s="251"/>
      <c r="AE87" s="251"/>
      <c r="AF87" s="241">
        <f t="shared" si="113"/>
        <v>0</v>
      </c>
      <c r="AH87" s="251"/>
      <c r="AI87" s="251"/>
      <c r="AJ87" s="251"/>
      <c r="AK87" s="251"/>
      <c r="AL87" s="251"/>
      <c r="AM87" s="251"/>
      <c r="AN87" s="241">
        <f t="shared" si="114"/>
        <v>0</v>
      </c>
      <c r="AP87" s="251"/>
      <c r="AQ87" s="251"/>
      <c r="AR87" s="251"/>
      <c r="AS87" s="245"/>
      <c r="AT87" s="251"/>
      <c r="AU87" s="251"/>
      <c r="AV87" s="241">
        <f t="shared" si="115"/>
        <v>0</v>
      </c>
      <c r="AX87" s="251"/>
      <c r="AY87" s="251"/>
      <c r="AZ87" s="251"/>
      <c r="BA87" s="251"/>
      <c r="BB87" s="251"/>
      <c r="BC87" s="251"/>
      <c r="BD87" s="241">
        <f t="shared" si="116"/>
        <v>0</v>
      </c>
      <c r="BF87" s="245"/>
      <c r="BG87" s="245"/>
      <c r="BH87" s="245"/>
      <c r="BI87" s="245"/>
      <c r="BJ87" s="245"/>
      <c r="BK87" s="245"/>
      <c r="BL87" s="241">
        <f t="shared" si="117"/>
        <v>0</v>
      </c>
      <c r="BN87" s="241">
        <f t="shared" si="118"/>
        <v>0</v>
      </c>
      <c r="BO87" s="241">
        <f t="shared" si="109"/>
        <v>0</v>
      </c>
      <c r="BP87" s="241">
        <f t="shared" si="109"/>
        <v>0</v>
      </c>
      <c r="BQ87" s="241">
        <f t="shared" si="109"/>
        <v>0</v>
      </c>
      <c r="BR87" s="241">
        <f t="shared" si="109"/>
        <v>0</v>
      </c>
      <c r="BS87" s="241">
        <f t="shared" si="109"/>
        <v>0</v>
      </c>
      <c r="BT87" s="241">
        <f t="shared" si="119"/>
        <v>0</v>
      </c>
    </row>
    <row r="88" spans="1:72" x14ac:dyDescent="0.25">
      <c r="A88" s="204"/>
      <c r="B88" s="252">
        <f>SUM(B85:B87)</f>
        <v>0</v>
      </c>
      <c r="C88" s="252">
        <f t="shared" ref="C88:G88" si="120">SUM(C85:C87)</f>
        <v>0</v>
      </c>
      <c r="D88" s="252">
        <f t="shared" si="120"/>
        <v>0</v>
      </c>
      <c r="E88" s="272">
        <f t="shared" si="120"/>
        <v>0</v>
      </c>
      <c r="F88" s="252">
        <f t="shared" si="120"/>
        <v>0</v>
      </c>
      <c r="G88" s="252">
        <f t="shared" si="120"/>
        <v>0</v>
      </c>
      <c r="H88" s="252">
        <f>SUM(H85:H87)</f>
        <v>0</v>
      </c>
      <c r="J88" s="252">
        <f>SUM(J85:J87)</f>
        <v>0</v>
      </c>
      <c r="K88" s="252">
        <f t="shared" ref="K88:O88" si="121">SUM(K85:K87)</f>
        <v>0</v>
      </c>
      <c r="L88" s="252">
        <f t="shared" si="121"/>
        <v>0</v>
      </c>
      <c r="M88" s="272">
        <f t="shared" si="121"/>
        <v>0</v>
      </c>
      <c r="N88" s="252">
        <f t="shared" si="121"/>
        <v>0</v>
      </c>
      <c r="O88" s="252">
        <f t="shared" si="121"/>
        <v>0</v>
      </c>
      <c r="P88" s="272">
        <f>SUM(P85:P87)</f>
        <v>0</v>
      </c>
      <c r="R88" s="252">
        <f>SUM(R85:R87)</f>
        <v>0</v>
      </c>
      <c r="S88" s="252">
        <f t="shared" ref="S88:W88" si="122">SUM(S85:S87)</f>
        <v>0</v>
      </c>
      <c r="T88" s="252">
        <f t="shared" si="122"/>
        <v>0</v>
      </c>
      <c r="U88" s="272">
        <f t="shared" si="122"/>
        <v>0</v>
      </c>
      <c r="V88" s="272">
        <f t="shared" si="122"/>
        <v>0</v>
      </c>
      <c r="W88" s="272">
        <f t="shared" si="122"/>
        <v>0</v>
      </c>
      <c r="X88" s="272">
        <f>SUM(X85:X87)</f>
        <v>0</v>
      </c>
      <c r="Z88" s="252">
        <f>SUM(Z85:Z87)</f>
        <v>0</v>
      </c>
      <c r="AA88" s="252">
        <f t="shared" ref="AA88:AE88" si="123">SUM(AA85:AA87)</f>
        <v>0</v>
      </c>
      <c r="AB88" s="252">
        <f t="shared" si="123"/>
        <v>0</v>
      </c>
      <c r="AC88" s="272">
        <f t="shared" si="123"/>
        <v>0</v>
      </c>
      <c r="AD88" s="252">
        <f t="shared" si="123"/>
        <v>0</v>
      </c>
      <c r="AE88" s="252">
        <f t="shared" si="123"/>
        <v>0</v>
      </c>
      <c r="AF88" s="252">
        <f>SUM(AF85:AF87)</f>
        <v>0</v>
      </c>
      <c r="AH88" s="252">
        <f>SUM(AH85:AH87)</f>
        <v>0</v>
      </c>
      <c r="AI88" s="252">
        <f t="shared" ref="AI88:AM88" si="124">SUM(AI85:AI87)</f>
        <v>0</v>
      </c>
      <c r="AJ88" s="252">
        <f t="shared" si="124"/>
        <v>0</v>
      </c>
      <c r="AK88" s="252">
        <f t="shared" si="124"/>
        <v>0</v>
      </c>
      <c r="AL88" s="252">
        <f t="shared" si="124"/>
        <v>0</v>
      </c>
      <c r="AM88" s="252">
        <f t="shared" si="124"/>
        <v>0</v>
      </c>
      <c r="AN88" s="252">
        <f>SUM(AN85:AN87)</f>
        <v>0</v>
      </c>
      <c r="AP88" s="252">
        <f>SUM(AP85:AP87)</f>
        <v>0</v>
      </c>
      <c r="AQ88" s="252">
        <f t="shared" ref="AQ88:AU88" si="125">SUM(AQ85:AQ87)</f>
        <v>0</v>
      </c>
      <c r="AR88" s="252">
        <f t="shared" si="125"/>
        <v>0</v>
      </c>
      <c r="AS88" s="272">
        <f t="shared" si="125"/>
        <v>0</v>
      </c>
      <c r="AT88" s="252">
        <f t="shared" si="125"/>
        <v>0</v>
      </c>
      <c r="AU88" s="252">
        <f t="shared" si="125"/>
        <v>0</v>
      </c>
      <c r="AV88" s="252">
        <f>SUM(AV85:AV87)</f>
        <v>0</v>
      </c>
      <c r="AX88" s="252">
        <f>SUM(AX85:AX87)</f>
        <v>0</v>
      </c>
      <c r="AY88" s="252">
        <f t="shared" ref="AY88:BC88" si="126">SUM(AY85:AY87)</f>
        <v>0</v>
      </c>
      <c r="AZ88" s="252">
        <f t="shared" si="126"/>
        <v>0</v>
      </c>
      <c r="BA88" s="252">
        <f t="shared" si="126"/>
        <v>0</v>
      </c>
      <c r="BB88" s="252">
        <f t="shared" si="126"/>
        <v>0</v>
      </c>
      <c r="BC88" s="252">
        <f t="shared" si="126"/>
        <v>0</v>
      </c>
      <c r="BD88" s="252">
        <f>SUM(BD85:BD87)</f>
        <v>0</v>
      </c>
      <c r="BF88" s="272">
        <f>SUM(BF85:BF87)</f>
        <v>0</v>
      </c>
      <c r="BG88" s="272">
        <f t="shared" ref="BG88:BK88" si="127">SUM(BG85:BG87)</f>
        <v>0</v>
      </c>
      <c r="BH88" s="272">
        <f t="shared" si="127"/>
        <v>0</v>
      </c>
      <c r="BI88" s="272">
        <f t="shared" si="127"/>
        <v>0</v>
      </c>
      <c r="BJ88" s="272">
        <f t="shared" si="127"/>
        <v>0</v>
      </c>
      <c r="BK88" s="272">
        <f t="shared" si="127"/>
        <v>0</v>
      </c>
      <c r="BL88" s="252">
        <f>SUM(BL85:BL87)</f>
        <v>0</v>
      </c>
      <c r="BN88" s="272">
        <f>SUM(BN85:BN87)</f>
        <v>0</v>
      </c>
      <c r="BO88" s="272">
        <f t="shared" ref="BO88:BS88" si="128">SUM(BO85:BO87)</f>
        <v>0</v>
      </c>
      <c r="BP88" s="272">
        <f t="shared" si="128"/>
        <v>0</v>
      </c>
      <c r="BQ88" s="272">
        <f t="shared" si="128"/>
        <v>0</v>
      </c>
      <c r="BR88" s="272">
        <f t="shared" si="128"/>
        <v>0</v>
      </c>
      <c r="BS88" s="272">
        <f t="shared" si="128"/>
        <v>0</v>
      </c>
      <c r="BT88" s="252">
        <f>SUM(BT85:BT87)</f>
        <v>0</v>
      </c>
    </row>
    <row r="89" spans="1:72" x14ac:dyDescent="0.25">
      <c r="AS89" s="259"/>
    </row>
    <row r="90" spans="1:72" ht="16.5" thickBot="1" x14ac:dyDescent="0.3"/>
    <row r="91" spans="1:72" x14ac:dyDescent="0.25">
      <c r="A91" s="205" t="s">
        <v>328</v>
      </c>
      <c r="B91" s="253" t="s">
        <v>309</v>
      </c>
      <c r="C91" s="253" t="s">
        <v>310</v>
      </c>
      <c r="D91" s="253" t="s">
        <v>311</v>
      </c>
      <c r="E91" s="254" t="str">
        <f>E84</f>
        <v>Other</v>
      </c>
      <c r="F91" s="253" t="s">
        <v>313</v>
      </c>
      <c r="G91" s="253" t="s">
        <v>314</v>
      </c>
      <c r="H91" s="255" t="s">
        <v>59</v>
      </c>
      <c r="J91" s="253" t="s">
        <v>309</v>
      </c>
      <c r="K91" s="253" t="s">
        <v>310</v>
      </c>
      <c r="L91" s="253" t="s">
        <v>311</v>
      </c>
      <c r="M91" s="254" t="str">
        <f>M84</f>
        <v>Other</v>
      </c>
      <c r="N91" s="253" t="s">
        <v>313</v>
      </c>
      <c r="O91" s="253" t="s">
        <v>314</v>
      </c>
      <c r="P91" s="275" t="str">
        <f>P84</f>
        <v>Cadence</v>
      </c>
      <c r="R91" s="253" t="s">
        <v>309</v>
      </c>
      <c r="S91" s="253" t="s">
        <v>310</v>
      </c>
      <c r="T91" s="253" t="s">
        <v>311</v>
      </c>
      <c r="U91" s="254" t="str">
        <f>U84</f>
        <v>Other</v>
      </c>
      <c r="V91" s="253" t="s">
        <v>313</v>
      </c>
      <c r="W91" s="253" t="s">
        <v>314</v>
      </c>
      <c r="X91" s="275" t="str">
        <f>X84</f>
        <v>St. Rose</v>
      </c>
      <c r="Z91" s="253" t="s">
        <v>309</v>
      </c>
      <c r="AA91" s="253" t="s">
        <v>310</v>
      </c>
      <c r="AB91" s="253" t="s">
        <v>311</v>
      </c>
      <c r="AC91" s="254" t="str">
        <f>AC84</f>
        <v>Other</v>
      </c>
      <c r="AD91" s="253" t="s">
        <v>313</v>
      </c>
      <c r="AE91" s="253" t="s">
        <v>314</v>
      </c>
      <c r="AF91" s="275" t="str">
        <f>AF84</f>
        <v>Inspirada</v>
      </c>
      <c r="AH91" s="253" t="s">
        <v>309</v>
      </c>
      <c r="AI91" s="253" t="s">
        <v>310</v>
      </c>
      <c r="AJ91" s="253" t="s">
        <v>311</v>
      </c>
      <c r="AK91" s="254" t="str">
        <f>AK84</f>
        <v>Other</v>
      </c>
      <c r="AL91" s="253" t="s">
        <v>313</v>
      </c>
      <c r="AM91" s="253" t="s">
        <v>314</v>
      </c>
      <c r="AN91" s="275" t="str">
        <f>AN84</f>
        <v>Sloan</v>
      </c>
      <c r="AP91" s="253" t="s">
        <v>309</v>
      </c>
      <c r="AQ91" s="253" t="s">
        <v>310</v>
      </c>
      <c r="AR91" s="253" t="s">
        <v>311</v>
      </c>
      <c r="AS91" s="254" t="str">
        <f>AS84</f>
        <v>Other</v>
      </c>
      <c r="AT91" s="253" t="s">
        <v>313</v>
      </c>
      <c r="AU91" s="253" t="s">
        <v>314</v>
      </c>
      <c r="AV91" s="275" t="str">
        <f>AV84</f>
        <v>Springs</v>
      </c>
      <c r="AX91" s="253" t="s">
        <v>309</v>
      </c>
      <c r="AY91" s="253" t="s">
        <v>310</v>
      </c>
      <c r="AZ91" s="253" t="s">
        <v>311</v>
      </c>
      <c r="BA91" s="254" t="str">
        <f>BA84</f>
        <v>Other</v>
      </c>
      <c r="BB91" s="253" t="s">
        <v>313</v>
      </c>
      <c r="BC91" s="253" t="s">
        <v>314</v>
      </c>
      <c r="BD91" s="275" t="str">
        <f>BD84</f>
        <v>Virtual</v>
      </c>
      <c r="BF91" s="253" t="s">
        <v>309</v>
      </c>
      <c r="BG91" s="253" t="s">
        <v>310</v>
      </c>
      <c r="BH91" s="253" t="s">
        <v>311</v>
      </c>
      <c r="BI91" s="254" t="str">
        <f>BI84</f>
        <v>Other</v>
      </c>
      <c r="BJ91" s="253" t="s">
        <v>313</v>
      </c>
      <c r="BK91" s="253" t="s">
        <v>314</v>
      </c>
      <c r="BL91" s="275" t="str">
        <f>BL84</f>
        <v>Central</v>
      </c>
      <c r="BN91" s="253" t="s">
        <v>309</v>
      </c>
      <c r="BO91" s="253" t="s">
        <v>310</v>
      </c>
      <c r="BP91" s="253" t="s">
        <v>311</v>
      </c>
      <c r="BQ91" s="254" t="str">
        <f>BQ84</f>
        <v>Other</v>
      </c>
      <c r="BR91" s="253" t="s">
        <v>313</v>
      </c>
      <c r="BS91" s="253" t="s">
        <v>314</v>
      </c>
      <c r="BT91" s="275" t="str">
        <f>BT84</f>
        <v>System</v>
      </c>
    </row>
    <row r="92" spans="1:72" x14ac:dyDescent="0.25">
      <c r="A92" s="206" t="s">
        <v>327</v>
      </c>
      <c r="B92" s="256"/>
      <c r="C92" s="256"/>
      <c r="D92" s="256"/>
      <c r="E92" s="256"/>
      <c r="F92" s="256"/>
      <c r="G92" s="256"/>
      <c r="H92" s="256"/>
      <c r="J92" s="256"/>
      <c r="K92" s="256"/>
      <c r="L92" s="256"/>
      <c r="M92" s="256"/>
      <c r="N92" s="256"/>
      <c r="O92" s="256"/>
      <c r="P92" s="256"/>
      <c r="R92" s="256"/>
      <c r="S92" s="256"/>
      <c r="T92" s="256"/>
      <c r="U92" s="256"/>
      <c r="V92" s="256"/>
      <c r="W92" s="256"/>
      <c r="X92" s="256"/>
      <c r="Z92" s="256"/>
      <c r="AA92" s="256"/>
      <c r="AB92" s="256"/>
      <c r="AC92" s="256"/>
      <c r="AD92" s="256"/>
      <c r="AE92" s="256"/>
      <c r="AF92" s="256"/>
      <c r="AH92" s="256"/>
      <c r="AI92" s="256"/>
      <c r="AJ92" s="256"/>
      <c r="AK92" s="256"/>
      <c r="AL92" s="256"/>
      <c r="AM92" s="256"/>
      <c r="AN92" s="256"/>
      <c r="AP92" s="256"/>
      <c r="AQ92" s="256"/>
      <c r="AR92" s="256"/>
      <c r="AS92" s="256"/>
      <c r="AT92" s="256"/>
      <c r="AU92" s="256"/>
      <c r="AV92" s="256"/>
      <c r="AX92" s="256"/>
      <c r="AY92" s="256"/>
      <c r="AZ92" s="256"/>
      <c r="BA92" s="256"/>
      <c r="BB92" s="256"/>
      <c r="BC92" s="256"/>
      <c r="BD92" s="256"/>
      <c r="BF92" s="256"/>
      <c r="BG92" s="256"/>
      <c r="BH92" s="256"/>
      <c r="BI92" s="256"/>
      <c r="BJ92" s="256"/>
      <c r="BK92" s="256"/>
      <c r="BL92" s="256"/>
      <c r="BN92" s="256"/>
      <c r="BO92" s="256"/>
      <c r="BP92" s="256"/>
      <c r="BQ92" s="256"/>
      <c r="BR92" s="256"/>
      <c r="BS92" s="256"/>
      <c r="BT92" s="256"/>
    </row>
    <row r="93" spans="1:72" x14ac:dyDescent="0.25">
      <c r="A93" s="200" t="s">
        <v>53</v>
      </c>
      <c r="B93" s="241">
        <f>163728*1.03*1.02*1.02</f>
        <v>175452.889536</v>
      </c>
      <c r="C93" s="257"/>
      <c r="D93" s="257"/>
      <c r="E93" s="257"/>
      <c r="F93" s="257"/>
      <c r="G93" s="257"/>
      <c r="H93" s="241">
        <f>SUM(B93:G93)</f>
        <v>175452.889536</v>
      </c>
      <c r="J93" s="257">
        <f>170130*1.03*1.02*1.02</f>
        <v>182313.34956</v>
      </c>
      <c r="K93" s="257"/>
      <c r="L93" s="257"/>
      <c r="M93" s="257"/>
      <c r="N93" s="257"/>
      <c r="O93" s="257"/>
      <c r="P93" s="241">
        <f>SUM(J93:O93)</f>
        <v>182313.34956</v>
      </c>
      <c r="R93" s="257">
        <f>159474*1.03*1.02*1.02</f>
        <v>170894.25208800001</v>
      </c>
      <c r="S93" s="257"/>
      <c r="T93" s="257"/>
      <c r="U93" s="257"/>
      <c r="V93" s="257"/>
      <c r="W93" s="257"/>
      <c r="X93" s="241">
        <f>SUM(R93:W93)</f>
        <v>170894.25208800001</v>
      </c>
      <c r="Z93" s="257">
        <f>223452*1.03*1.02*1.02</f>
        <v>239453.84462400002</v>
      </c>
      <c r="AA93" s="257"/>
      <c r="AB93" s="257"/>
      <c r="AC93" s="257"/>
      <c r="AD93" s="257"/>
      <c r="AE93" s="257"/>
      <c r="AF93" s="241">
        <f>SUM(Z93:AE93)</f>
        <v>239453.84462400002</v>
      </c>
      <c r="AH93" s="241">
        <f>180277*1.02*1.02</f>
        <v>187560.19080000001</v>
      </c>
      <c r="AI93" s="257"/>
      <c r="AJ93" s="257"/>
      <c r="AK93" s="257"/>
      <c r="AL93" s="257"/>
      <c r="AM93" s="257"/>
      <c r="AN93" s="241">
        <f>SUM(AH93:AM93)</f>
        <v>187560.19080000001</v>
      </c>
      <c r="AP93" s="257">
        <f>135000*1.03*1.02*1.02</f>
        <v>144667.62</v>
      </c>
      <c r="AQ93" s="257"/>
      <c r="AR93" s="257"/>
      <c r="AS93" s="257"/>
      <c r="AT93" s="257"/>
      <c r="AU93" s="257"/>
      <c r="AV93" s="241">
        <f>SUM(AP93:AU93)</f>
        <v>144667.62</v>
      </c>
      <c r="AX93" s="257"/>
      <c r="AY93" s="257"/>
      <c r="AZ93" s="257"/>
      <c r="BA93" s="257"/>
      <c r="BB93" s="257"/>
      <c r="BC93" s="257"/>
      <c r="BD93" s="241">
        <f>SUM(AX93:BC93)</f>
        <v>0</v>
      </c>
      <c r="BF93" s="257"/>
      <c r="BG93" s="257"/>
      <c r="BH93" s="257"/>
      <c r="BI93" s="257"/>
      <c r="BJ93" s="257"/>
      <c r="BK93" s="257"/>
      <c r="BL93" s="241">
        <f>SUM(BF93:BK93)</f>
        <v>0</v>
      </c>
      <c r="BN93" s="241">
        <f>B93+J93+R93+Z93+AH93+AP93+AX93+BF93</f>
        <v>1100342.1466079999</v>
      </c>
      <c r="BO93" s="241">
        <f t="shared" ref="BO93:BS108" si="129">C93+K93+S93+AA93+AI93+AQ93+AY93+BG93</f>
        <v>0</v>
      </c>
      <c r="BP93" s="241">
        <f t="shared" si="129"/>
        <v>0</v>
      </c>
      <c r="BQ93" s="241">
        <f t="shared" si="129"/>
        <v>0</v>
      </c>
      <c r="BR93" s="241">
        <f t="shared" si="129"/>
        <v>0</v>
      </c>
      <c r="BS93" s="241">
        <f t="shared" si="129"/>
        <v>0</v>
      </c>
      <c r="BT93" s="241">
        <f>SUM(BN93:BS93)</f>
        <v>1100342.1466079999</v>
      </c>
    </row>
    <row r="94" spans="1:72" x14ac:dyDescent="0.25">
      <c r="A94" s="201" t="s">
        <v>232</v>
      </c>
      <c r="B94" s="244">
        <f>(102000+102000)*1.01*1.01</f>
        <v>208100.4</v>
      </c>
      <c r="C94" s="244">
        <f>92000*1.01*1.01</f>
        <v>93849.2</v>
      </c>
      <c r="D94" s="244"/>
      <c r="E94" s="244"/>
      <c r="F94" s="244"/>
      <c r="G94" s="244"/>
      <c r="H94" s="241">
        <f t="shared" ref="H94:H115" si="130">SUM(B94:G94)</f>
        <v>301949.59999999998</v>
      </c>
      <c r="J94" s="244">
        <f>(96050+114500+117100+89715+100000+120000)*1.01*1.01</f>
        <v>650176.03650000005</v>
      </c>
      <c r="K94" s="244"/>
      <c r="L94" s="244"/>
      <c r="M94" s="244"/>
      <c r="N94" s="244"/>
      <c r="O94" s="244"/>
      <c r="P94" s="241">
        <f t="shared" ref="P94:P115" si="131">SUM(J94:O94)</f>
        <v>650176.03650000005</v>
      </c>
      <c r="R94" s="244">
        <f>(107000+101000+105000)*1.01*1.01</f>
        <v>319291.3</v>
      </c>
      <c r="S94" s="244"/>
      <c r="T94" s="244"/>
      <c r="U94" s="244"/>
      <c r="V94" s="244"/>
      <c r="W94" s="244"/>
      <c r="X94" s="241">
        <f t="shared" ref="X94:X115" si="132">SUM(R94:W94)</f>
        <v>319291.3</v>
      </c>
      <c r="Z94" s="244">
        <f>(116390+90640)*1.01*1.01</f>
        <v>211191.30299999999</v>
      </c>
      <c r="AA94" s="244"/>
      <c r="AB94" s="244"/>
      <c r="AC94" s="244"/>
      <c r="AD94" s="244"/>
      <c r="AE94" s="244"/>
      <c r="AF94" s="241">
        <f t="shared" ref="AF94:AF115" si="133">SUM(Z94:AE94)</f>
        <v>211191.30299999999</v>
      </c>
      <c r="AH94" s="244">
        <f>(122000+107000+107000+97000)*1.01*1.01</f>
        <v>441703.3</v>
      </c>
      <c r="AI94" s="244"/>
      <c r="AJ94" s="244"/>
      <c r="AK94" s="244"/>
      <c r="AL94" s="244"/>
      <c r="AM94" s="244"/>
      <c r="AN94" s="241">
        <f t="shared" ref="AN94:AN115" si="134">SUM(AH94:AM94)</f>
        <v>441703.3</v>
      </c>
      <c r="AP94" s="244">
        <f>90000*1.01</f>
        <v>90900</v>
      </c>
      <c r="AQ94" s="244"/>
      <c r="AR94" s="244"/>
      <c r="AS94" s="244"/>
      <c r="AT94" s="244"/>
      <c r="AU94" s="244"/>
      <c r="AV94" s="241">
        <f t="shared" ref="AV94:AV115" si="135">SUM(AP94:AU94)</f>
        <v>90900</v>
      </c>
      <c r="AX94" s="244"/>
      <c r="AY94" s="244"/>
      <c r="AZ94" s="244"/>
      <c r="BA94" s="244"/>
      <c r="BB94" s="244"/>
      <c r="BC94" s="244"/>
      <c r="BD94" s="241">
        <f t="shared" ref="BD94:BD115" si="136">SUM(AX94:BC94)</f>
        <v>0</v>
      </c>
      <c r="BF94" s="244">
        <f>(92700+1500+1000)*1.01*1.01</f>
        <v>97113.52</v>
      </c>
      <c r="BG94" s="244"/>
      <c r="BH94" s="244"/>
      <c r="BI94" s="244"/>
      <c r="BJ94" s="244"/>
      <c r="BK94" s="244"/>
      <c r="BL94" s="241">
        <f t="shared" ref="BL94:BL115" si="137">SUM(BF94:BK94)</f>
        <v>97113.52</v>
      </c>
      <c r="BN94" s="241">
        <f t="shared" ref="BN94:BN108" si="138">B94+J94+R94+Z94+AH94+AP94+AX94+BF94</f>
        <v>2018475.8595000003</v>
      </c>
      <c r="BO94" s="241">
        <f t="shared" si="129"/>
        <v>93849.2</v>
      </c>
      <c r="BP94" s="241">
        <f t="shared" si="129"/>
        <v>0</v>
      </c>
      <c r="BQ94" s="241">
        <f t="shared" si="129"/>
        <v>0</v>
      </c>
      <c r="BR94" s="241">
        <f t="shared" si="129"/>
        <v>0</v>
      </c>
      <c r="BS94" s="241">
        <f t="shared" si="129"/>
        <v>0</v>
      </c>
      <c r="BT94" s="241">
        <f t="shared" ref="BT94:BT96" si="139">SUM(BN94:BS94)</f>
        <v>2112325.0595000004</v>
      </c>
    </row>
    <row r="95" spans="1:72" x14ac:dyDescent="0.25">
      <c r="A95" s="201" t="s">
        <v>195</v>
      </c>
      <c r="B95" s="244"/>
      <c r="C95" s="244"/>
      <c r="D95" s="244"/>
      <c r="E95" s="244"/>
      <c r="F95" s="244"/>
      <c r="G95" s="244"/>
      <c r="H95" s="241">
        <f t="shared" si="130"/>
        <v>0</v>
      </c>
      <c r="J95" s="244">
        <f>(80500+81500+75050+80450+80000)*1.01*1.01</f>
        <v>405489.75</v>
      </c>
      <c r="K95" s="244"/>
      <c r="L95" s="244"/>
      <c r="M95" s="244"/>
      <c r="N95" s="244"/>
      <c r="O95" s="244"/>
      <c r="P95" s="241">
        <f t="shared" si="131"/>
        <v>405489.75</v>
      </c>
      <c r="R95" s="244">
        <f>87000*1.01*1.01</f>
        <v>88748.7</v>
      </c>
      <c r="S95" s="244"/>
      <c r="T95" s="244"/>
      <c r="U95" s="244"/>
      <c r="V95" s="244"/>
      <c r="W95" s="244"/>
      <c r="X95" s="241">
        <f t="shared" si="132"/>
        <v>88748.7</v>
      </c>
      <c r="Z95" s="244">
        <f>82400*1.01*1.01</f>
        <v>84056.24</v>
      </c>
      <c r="AA95" s="244"/>
      <c r="AB95" s="244"/>
      <c r="AC95" s="244"/>
      <c r="AD95" s="244"/>
      <c r="AE95" s="244"/>
      <c r="AF95" s="241">
        <f t="shared" si="133"/>
        <v>84056.24</v>
      </c>
      <c r="AH95" s="244">
        <f>(77500+75000+85000+82000)*1.01*1.01</f>
        <v>325921.95</v>
      </c>
      <c r="AI95" s="244"/>
      <c r="AJ95" s="244"/>
      <c r="AK95" s="244"/>
      <c r="AL95" s="244"/>
      <c r="AM95" s="244"/>
      <c r="AN95" s="241">
        <f t="shared" si="134"/>
        <v>325921.95</v>
      </c>
      <c r="AP95" s="244"/>
      <c r="AQ95" s="244"/>
      <c r="AR95" s="244"/>
      <c r="AS95" s="244"/>
      <c r="AT95" s="244"/>
      <c r="AU95" s="244"/>
      <c r="AV95" s="241">
        <f t="shared" si="135"/>
        <v>0</v>
      </c>
      <c r="AX95" s="244"/>
      <c r="AY95" s="244"/>
      <c r="AZ95" s="244"/>
      <c r="BA95" s="244"/>
      <c r="BB95" s="244"/>
      <c r="BC95" s="244"/>
      <c r="BD95" s="241">
        <f t="shared" si="136"/>
        <v>0</v>
      </c>
      <c r="BF95" s="244"/>
      <c r="BG95" s="244"/>
      <c r="BH95" s="244"/>
      <c r="BI95" s="244"/>
      <c r="BJ95" s="244"/>
      <c r="BK95" s="244"/>
      <c r="BL95" s="241">
        <f t="shared" si="137"/>
        <v>0</v>
      </c>
      <c r="BN95" s="241">
        <f t="shared" si="138"/>
        <v>904216.64000000013</v>
      </c>
      <c r="BO95" s="241">
        <f t="shared" si="129"/>
        <v>0</v>
      </c>
      <c r="BP95" s="241">
        <f t="shared" si="129"/>
        <v>0</v>
      </c>
      <c r="BQ95" s="241">
        <f t="shared" si="129"/>
        <v>0</v>
      </c>
      <c r="BR95" s="241">
        <f t="shared" si="129"/>
        <v>0</v>
      </c>
      <c r="BS95" s="241">
        <f t="shared" si="129"/>
        <v>0</v>
      </c>
      <c r="BT95" s="241">
        <f t="shared" si="139"/>
        <v>904216.64000000013</v>
      </c>
    </row>
    <row r="96" spans="1:72" x14ac:dyDescent="0.25">
      <c r="A96" s="201" t="s">
        <v>233</v>
      </c>
      <c r="B96" s="244"/>
      <c r="C96" s="244"/>
      <c r="D96" s="244"/>
      <c r="E96" s="244"/>
      <c r="F96" s="244"/>
      <c r="G96" s="244"/>
      <c r="H96" s="241">
        <f t="shared" si="130"/>
        <v>0</v>
      </c>
      <c r="J96" s="244">
        <f>76750*1.01*1.01</f>
        <v>78292.675000000003</v>
      </c>
      <c r="K96" s="244"/>
      <c r="L96" s="244"/>
      <c r="M96" s="244"/>
      <c r="N96" s="244"/>
      <c r="O96" s="244"/>
      <c r="P96" s="241">
        <f t="shared" si="131"/>
        <v>78292.675000000003</v>
      </c>
      <c r="R96" s="244"/>
      <c r="S96" s="244"/>
      <c r="T96" s="244"/>
      <c r="U96" s="244"/>
      <c r="V96" s="244"/>
      <c r="W96" s="244"/>
      <c r="X96" s="241">
        <f t="shared" si="132"/>
        <v>0</v>
      </c>
      <c r="Z96" s="244"/>
      <c r="AA96" s="244"/>
      <c r="AB96" s="244"/>
      <c r="AC96" s="244"/>
      <c r="AD96" s="244"/>
      <c r="AE96" s="244"/>
      <c r="AF96" s="241">
        <f t="shared" si="133"/>
        <v>0</v>
      </c>
      <c r="AH96" s="242"/>
      <c r="AI96" s="244"/>
      <c r="AJ96" s="244"/>
      <c r="AK96" s="244"/>
      <c r="AL96" s="244"/>
      <c r="AM96" s="244"/>
      <c r="AN96" s="241">
        <f t="shared" si="134"/>
        <v>0</v>
      </c>
      <c r="AP96" s="244"/>
      <c r="AQ96" s="244"/>
      <c r="AR96" s="244"/>
      <c r="AS96" s="244"/>
      <c r="AT96" s="244"/>
      <c r="AU96" s="244"/>
      <c r="AV96" s="241">
        <f t="shared" si="135"/>
        <v>0</v>
      </c>
      <c r="AX96" s="244"/>
      <c r="AY96" s="244"/>
      <c r="AZ96" s="244"/>
      <c r="BA96" s="244"/>
      <c r="BB96" s="244"/>
      <c r="BC96" s="244"/>
      <c r="BD96" s="241">
        <f t="shared" si="136"/>
        <v>0</v>
      </c>
      <c r="BF96" s="244"/>
      <c r="BG96" s="244"/>
      <c r="BH96" s="244"/>
      <c r="BI96" s="244"/>
      <c r="BJ96" s="244"/>
      <c r="BK96" s="244"/>
      <c r="BL96" s="241">
        <f t="shared" si="137"/>
        <v>0</v>
      </c>
      <c r="BN96" s="241">
        <f t="shared" si="138"/>
        <v>78292.675000000003</v>
      </c>
      <c r="BO96" s="241">
        <f t="shared" si="129"/>
        <v>0</v>
      </c>
      <c r="BP96" s="241">
        <f t="shared" si="129"/>
        <v>0</v>
      </c>
      <c r="BQ96" s="241">
        <f t="shared" si="129"/>
        <v>0</v>
      </c>
      <c r="BR96" s="241">
        <f t="shared" si="129"/>
        <v>0</v>
      </c>
      <c r="BS96" s="241">
        <f t="shared" si="129"/>
        <v>0</v>
      </c>
      <c r="BT96" s="241">
        <f t="shared" si="139"/>
        <v>78292.675000000003</v>
      </c>
    </row>
    <row r="97" spans="1:72" x14ac:dyDescent="0.25">
      <c r="A97" s="201" t="s">
        <v>234</v>
      </c>
      <c r="B97" s="244"/>
      <c r="C97" s="244"/>
      <c r="D97" s="244"/>
      <c r="E97" s="244"/>
      <c r="F97" s="244"/>
      <c r="G97" s="244"/>
      <c r="H97" s="241">
        <f t="shared" si="130"/>
        <v>0</v>
      </c>
      <c r="J97" s="244">
        <f>(87000+74160+65000+75000)*1.01*1.01</f>
        <v>307213.31599999999</v>
      </c>
      <c r="K97" s="244"/>
      <c r="L97" s="244"/>
      <c r="M97" s="244"/>
      <c r="N97" s="244"/>
      <c r="O97" s="244"/>
      <c r="P97" s="241">
        <f t="shared" si="131"/>
        <v>307213.31599999999</v>
      </c>
      <c r="R97" s="244"/>
      <c r="S97" s="244"/>
      <c r="T97" s="244"/>
      <c r="U97" s="244"/>
      <c r="V97" s="244"/>
      <c r="W97" s="244"/>
      <c r="X97" s="241">
        <f t="shared" si="132"/>
        <v>0</v>
      </c>
      <c r="Z97" s="244"/>
      <c r="AA97" s="244"/>
      <c r="AB97" s="244"/>
      <c r="AC97" s="244"/>
      <c r="AD97" s="244"/>
      <c r="AE97" s="244"/>
      <c r="AF97" s="241">
        <f t="shared" si="133"/>
        <v>0</v>
      </c>
      <c r="AH97" s="244">
        <f>(75000+85500+75000)*1.01*1.01</f>
        <v>240233.55</v>
      </c>
      <c r="AI97" s="244"/>
      <c r="AJ97" s="244"/>
      <c r="AK97" s="244"/>
      <c r="AL97" s="244"/>
      <c r="AM97" s="244"/>
      <c r="AN97" s="241">
        <f t="shared" si="134"/>
        <v>240233.55</v>
      </c>
      <c r="AP97" s="244"/>
      <c r="AQ97" s="244"/>
      <c r="AR97" s="244"/>
      <c r="AS97" s="244"/>
      <c r="AT97" s="244"/>
      <c r="AU97" s="244"/>
      <c r="AV97" s="241">
        <f t="shared" si="135"/>
        <v>0</v>
      </c>
      <c r="AX97" s="244"/>
      <c r="AY97" s="244"/>
      <c r="AZ97" s="244"/>
      <c r="BA97" s="244"/>
      <c r="BB97" s="244"/>
      <c r="BC97" s="244"/>
      <c r="BD97" s="241">
        <f t="shared" si="136"/>
        <v>0</v>
      </c>
      <c r="BF97" s="244"/>
      <c r="BG97" s="244"/>
      <c r="BH97" s="244"/>
      <c r="BI97" s="244"/>
      <c r="BJ97" s="244"/>
      <c r="BK97" s="244"/>
      <c r="BL97" s="241">
        <f>SUM(BF97:BK97)</f>
        <v>0</v>
      </c>
      <c r="BN97" s="241">
        <f t="shared" si="138"/>
        <v>547446.86599999992</v>
      </c>
      <c r="BO97" s="241">
        <f t="shared" si="129"/>
        <v>0</v>
      </c>
      <c r="BP97" s="241">
        <f t="shared" si="129"/>
        <v>0</v>
      </c>
      <c r="BQ97" s="241">
        <f t="shared" si="129"/>
        <v>0</v>
      </c>
      <c r="BR97" s="241">
        <f t="shared" si="129"/>
        <v>0</v>
      </c>
      <c r="BS97" s="241">
        <f t="shared" si="129"/>
        <v>0</v>
      </c>
      <c r="BT97" s="241">
        <f>SUM(BN97:BS97)</f>
        <v>547446.86599999992</v>
      </c>
    </row>
    <row r="98" spans="1:72" x14ac:dyDescent="0.25">
      <c r="A98" s="201" t="s">
        <v>235</v>
      </c>
      <c r="B98" s="244">
        <f>(72500+66500)*1.01*1.01</f>
        <v>141793.9</v>
      </c>
      <c r="C98" s="244"/>
      <c r="D98" s="244"/>
      <c r="E98" s="244"/>
      <c r="F98" s="244"/>
      <c r="G98" s="244"/>
      <c r="H98" s="241">
        <f t="shared" si="130"/>
        <v>141793.9</v>
      </c>
      <c r="J98" s="244">
        <f>(((58960+58700+67825)+(63650+58700))+10000)*1.01*1.01</f>
        <v>324223.48349999997</v>
      </c>
      <c r="K98" s="244"/>
      <c r="L98" s="244"/>
      <c r="M98" s="244"/>
      <c r="N98" s="244"/>
      <c r="O98" s="244"/>
      <c r="P98" s="241">
        <f t="shared" si="131"/>
        <v>324223.48349999997</v>
      </c>
      <c r="R98" s="244">
        <f>(70000+56000)*1.01*1.01</f>
        <v>128532.6</v>
      </c>
      <c r="S98" s="244"/>
      <c r="T98" s="244"/>
      <c r="U98" s="244"/>
      <c r="V98" s="244"/>
      <c r="W98" s="244"/>
      <c r="X98" s="241">
        <f t="shared" si="132"/>
        <v>128532.6</v>
      </c>
      <c r="Z98" s="244">
        <f>(65976+46350)*1.01*1.01</f>
        <v>114583.75259999999</v>
      </c>
      <c r="AA98" s="244"/>
      <c r="AB98" s="244"/>
      <c r="AC98" s="244"/>
      <c r="AD98" s="244"/>
      <c r="AE98" s="244"/>
      <c r="AF98" s="241">
        <f t="shared" si="133"/>
        <v>114583.75259999999</v>
      </c>
      <c r="AH98" s="244">
        <f>((63000+59000+62500)*1.01*1.01)+(23*8*200)</f>
        <v>225008.45</v>
      </c>
      <c r="AI98" s="244"/>
      <c r="AJ98" s="244"/>
      <c r="AK98" s="244"/>
      <c r="AL98" s="244"/>
      <c r="AM98" s="244"/>
      <c r="AN98" s="241">
        <f t="shared" si="134"/>
        <v>225008.45</v>
      </c>
      <c r="AP98" s="242">
        <f>(57000*1.01*1.01)+(47500)</f>
        <v>105645.7</v>
      </c>
      <c r="AQ98" s="244"/>
      <c r="AR98" s="244"/>
      <c r="AS98" s="244"/>
      <c r="AT98" s="244"/>
      <c r="AU98" s="244"/>
      <c r="AV98" s="241">
        <f t="shared" si="135"/>
        <v>105645.7</v>
      </c>
      <c r="AX98" s="244"/>
      <c r="AY98" s="244"/>
      <c r="AZ98" s="244"/>
      <c r="BA98" s="244"/>
      <c r="BB98" s="244"/>
      <c r="BC98" s="244"/>
      <c r="BD98" s="241">
        <f t="shared" si="136"/>
        <v>0</v>
      </c>
      <c r="BF98" s="244">
        <f>(92700+1500+1000)*1.01*1.01</f>
        <v>97113.52</v>
      </c>
      <c r="BG98" s="244"/>
      <c r="BH98" s="244"/>
      <c r="BI98" s="244"/>
      <c r="BJ98" s="244"/>
      <c r="BK98" s="244"/>
      <c r="BL98" s="241">
        <f t="shared" si="137"/>
        <v>97113.52</v>
      </c>
      <c r="BN98" s="241">
        <f t="shared" si="138"/>
        <v>1136901.4061</v>
      </c>
      <c r="BO98" s="241">
        <f t="shared" si="129"/>
        <v>0</v>
      </c>
      <c r="BP98" s="241">
        <f t="shared" si="129"/>
        <v>0</v>
      </c>
      <c r="BQ98" s="241">
        <f t="shared" si="129"/>
        <v>0</v>
      </c>
      <c r="BR98" s="241">
        <f t="shared" si="129"/>
        <v>0</v>
      </c>
      <c r="BS98" s="241">
        <f t="shared" si="129"/>
        <v>0</v>
      </c>
      <c r="BT98" s="241">
        <f t="shared" ref="BT98:BT103" si="140">SUM(BN98:BS98)</f>
        <v>1136901.4061</v>
      </c>
    </row>
    <row r="99" spans="1:72" x14ac:dyDescent="0.25">
      <c r="A99" s="201" t="s">
        <v>236</v>
      </c>
      <c r="B99" s="244">
        <f>(21.5*8*190)*(B48+B49)</f>
        <v>98040</v>
      </c>
      <c r="C99" s="244"/>
      <c r="D99" s="244"/>
      <c r="E99" s="244"/>
      <c r="F99" s="244"/>
      <c r="G99" s="244"/>
      <c r="H99" s="241">
        <f t="shared" si="130"/>
        <v>98040</v>
      </c>
      <c r="J99" s="244">
        <f>(21.25*8*190)*(J48+J49)</f>
        <v>193800</v>
      </c>
      <c r="K99" s="244"/>
      <c r="L99" s="244"/>
      <c r="M99" s="244"/>
      <c r="N99" s="244"/>
      <c r="O99" s="244"/>
      <c r="P99" s="241">
        <f t="shared" si="131"/>
        <v>193800</v>
      </c>
      <c r="R99" s="244">
        <f>(22.5*8*190)*(R49+R48)</f>
        <v>102600</v>
      </c>
      <c r="S99" s="244"/>
      <c r="T99" s="244"/>
      <c r="U99" s="244"/>
      <c r="V99" s="244"/>
      <c r="W99" s="244"/>
      <c r="X99" s="241">
        <f t="shared" si="132"/>
        <v>102600</v>
      </c>
      <c r="Z99" s="244">
        <f>(46000*1.01*1.01)+(19*7.5*185)</f>
        <v>73287.100000000006</v>
      </c>
      <c r="AA99" s="244"/>
      <c r="AB99" s="244"/>
      <c r="AC99" s="244"/>
      <c r="AD99" s="244"/>
      <c r="AE99" s="244"/>
      <c r="AF99" s="241">
        <f t="shared" si="133"/>
        <v>73287.100000000006</v>
      </c>
      <c r="AH99" s="244">
        <f>(22*8*190)*(AH49+AH48)</f>
        <v>200640</v>
      </c>
      <c r="AI99" s="244"/>
      <c r="AJ99" s="244"/>
      <c r="AK99" s="244"/>
      <c r="AL99" s="244"/>
      <c r="AM99" s="244"/>
      <c r="AN99" s="241">
        <f t="shared" si="134"/>
        <v>200640</v>
      </c>
      <c r="AP99" s="244">
        <f>((21.5*8*190)*(AP48+AP49))</f>
        <v>65360</v>
      </c>
      <c r="AQ99" s="244"/>
      <c r="AR99" s="244"/>
      <c r="AS99" s="244"/>
      <c r="AT99" s="244"/>
      <c r="AU99" s="244"/>
      <c r="AV99" s="241">
        <f t="shared" si="135"/>
        <v>65360</v>
      </c>
      <c r="AX99" s="244"/>
      <c r="AY99" s="244"/>
      <c r="AZ99" s="244"/>
      <c r="BA99" s="244"/>
      <c r="BB99" s="244"/>
      <c r="BC99" s="244"/>
      <c r="BD99" s="241">
        <f t="shared" si="136"/>
        <v>0</v>
      </c>
      <c r="BF99" s="244">
        <f>(46500+550)*1.01*1.01</f>
        <v>47995.705000000002</v>
      </c>
      <c r="BG99" s="244"/>
      <c r="BH99" s="244"/>
      <c r="BI99" s="244"/>
      <c r="BJ99" s="244"/>
      <c r="BK99" s="244"/>
      <c r="BL99" s="241">
        <f t="shared" si="137"/>
        <v>47995.705000000002</v>
      </c>
      <c r="BN99" s="241">
        <f t="shared" si="138"/>
        <v>781722.80499999993</v>
      </c>
      <c r="BO99" s="241">
        <f t="shared" si="129"/>
        <v>0</v>
      </c>
      <c r="BP99" s="241">
        <f t="shared" si="129"/>
        <v>0</v>
      </c>
      <c r="BQ99" s="241">
        <f t="shared" si="129"/>
        <v>0</v>
      </c>
      <c r="BR99" s="241">
        <f t="shared" si="129"/>
        <v>0</v>
      </c>
      <c r="BS99" s="241">
        <f t="shared" si="129"/>
        <v>0</v>
      </c>
      <c r="BT99" s="241">
        <f t="shared" si="140"/>
        <v>781722.80499999993</v>
      </c>
    </row>
    <row r="100" spans="1:72" x14ac:dyDescent="0.25">
      <c r="A100" s="201" t="s">
        <v>324</v>
      </c>
      <c r="B100" s="244"/>
      <c r="C100" s="244"/>
      <c r="D100" s="244"/>
      <c r="E100" s="244"/>
      <c r="F100" s="244"/>
      <c r="G100" s="244"/>
      <c r="H100" s="241">
        <f t="shared" si="130"/>
        <v>0</v>
      </c>
      <c r="J100" s="244">
        <f>43900*1.01*1.01</f>
        <v>44782.39</v>
      </c>
      <c r="K100" s="244"/>
      <c r="L100" s="244"/>
      <c r="M100" s="244"/>
      <c r="N100" s="244"/>
      <c r="O100" s="244"/>
      <c r="P100" s="241">
        <f t="shared" si="131"/>
        <v>44782.39</v>
      </c>
      <c r="R100" s="244">
        <f>26.5*7.5*215</f>
        <v>42731.25</v>
      </c>
      <c r="S100" s="244"/>
      <c r="T100" s="244"/>
      <c r="U100" s="244"/>
      <c r="V100" s="244"/>
      <c r="W100" s="244"/>
      <c r="X100" s="241">
        <f t="shared" si="132"/>
        <v>42731.25</v>
      </c>
      <c r="Z100" s="244"/>
      <c r="AA100" s="244"/>
      <c r="AB100" s="244"/>
      <c r="AC100" s="244"/>
      <c r="AD100" s="244"/>
      <c r="AE100" s="244"/>
      <c r="AF100" s="241">
        <f t="shared" si="133"/>
        <v>0</v>
      </c>
      <c r="AH100" s="244">
        <f>50500*1.01*1.01</f>
        <v>51515.05</v>
      </c>
      <c r="AI100" s="244"/>
      <c r="AJ100" s="244"/>
      <c r="AK100" s="244"/>
      <c r="AL100" s="244"/>
      <c r="AM100" s="244"/>
      <c r="AN100" s="241">
        <f t="shared" si="134"/>
        <v>51515.05</v>
      </c>
      <c r="AP100" s="244"/>
      <c r="AQ100" s="244"/>
      <c r="AR100" s="244"/>
      <c r="AS100" s="244"/>
      <c r="AT100" s="244"/>
      <c r="AU100" s="244"/>
      <c r="AV100" s="241">
        <f t="shared" si="135"/>
        <v>0</v>
      </c>
      <c r="AX100" s="244"/>
      <c r="AY100" s="244"/>
      <c r="AZ100" s="244"/>
      <c r="BA100" s="244"/>
      <c r="BB100" s="244"/>
      <c r="BC100" s="244"/>
      <c r="BD100" s="241">
        <f t="shared" si="136"/>
        <v>0</v>
      </c>
      <c r="BF100" s="244"/>
      <c r="BG100" s="244"/>
      <c r="BH100" s="244"/>
      <c r="BI100" s="244"/>
      <c r="BJ100" s="244"/>
      <c r="BK100" s="244"/>
      <c r="BL100" s="241">
        <f t="shared" si="137"/>
        <v>0</v>
      </c>
      <c r="BN100" s="241">
        <f t="shared" si="138"/>
        <v>139028.69</v>
      </c>
      <c r="BO100" s="241">
        <f t="shared" si="129"/>
        <v>0</v>
      </c>
      <c r="BP100" s="241">
        <f t="shared" si="129"/>
        <v>0</v>
      </c>
      <c r="BQ100" s="241">
        <f t="shared" si="129"/>
        <v>0</v>
      </c>
      <c r="BR100" s="241">
        <f t="shared" si="129"/>
        <v>0</v>
      </c>
      <c r="BS100" s="241">
        <f t="shared" si="129"/>
        <v>0</v>
      </c>
      <c r="BT100" s="241">
        <f t="shared" si="140"/>
        <v>139028.69</v>
      </c>
    </row>
    <row r="101" spans="1:72" x14ac:dyDescent="0.25">
      <c r="A101" s="201" t="s">
        <v>237</v>
      </c>
      <c r="B101" s="244">
        <f>(25.5*8*240)*B51</f>
        <v>97920</v>
      </c>
      <c r="C101" s="244"/>
      <c r="D101" s="244"/>
      <c r="E101" s="244"/>
      <c r="F101" s="244"/>
      <c r="G101" s="244"/>
      <c r="H101" s="241">
        <f t="shared" si="130"/>
        <v>97920</v>
      </c>
      <c r="J101" s="244">
        <f>((22.25*8*240)*J51-1)+((58700+47000)*1.01*1.01)</f>
        <v>449583.57</v>
      </c>
      <c r="K101" s="244"/>
      <c r="L101" s="244"/>
      <c r="M101" s="244"/>
      <c r="N101" s="244"/>
      <c r="O101" s="244"/>
      <c r="P101" s="241">
        <f t="shared" si="131"/>
        <v>449583.57</v>
      </c>
      <c r="R101" s="244">
        <f>(22.5*8*240)*R51</f>
        <v>129600</v>
      </c>
      <c r="S101" s="244"/>
      <c r="T101" s="244"/>
      <c r="U101" s="244"/>
      <c r="V101" s="244"/>
      <c r="W101" s="244"/>
      <c r="X101" s="241">
        <f t="shared" si="132"/>
        <v>129600</v>
      </c>
      <c r="Z101" s="244">
        <f>(23.5*8*240)*Z51</f>
        <v>135360</v>
      </c>
      <c r="AA101" s="244"/>
      <c r="AB101" s="244"/>
      <c r="AC101" s="244"/>
      <c r="AD101" s="244"/>
      <c r="AE101" s="244"/>
      <c r="AF101" s="241">
        <f t="shared" si="133"/>
        <v>135360</v>
      </c>
      <c r="AH101" s="244">
        <f>(21.5*8*240)*AH51-96</f>
        <v>330144</v>
      </c>
      <c r="AI101" s="244"/>
      <c r="AJ101" s="244"/>
      <c r="AK101" s="244"/>
      <c r="AL101" s="244"/>
      <c r="AM101" s="244"/>
      <c r="AN101" s="241">
        <f t="shared" si="134"/>
        <v>330144</v>
      </c>
      <c r="AP101" s="244">
        <f>(22.5*8*240)+(50000*1.01)</f>
        <v>93700</v>
      </c>
      <c r="AQ101" s="244"/>
      <c r="AR101" s="244"/>
      <c r="AS101" s="244"/>
      <c r="AU101" s="244"/>
      <c r="AV101" s="241">
        <f t="shared" si="135"/>
        <v>93700</v>
      </c>
      <c r="AX101" s="244"/>
      <c r="AY101" s="244"/>
      <c r="AZ101" s="244"/>
      <c r="BA101" s="244"/>
      <c r="BB101" s="244"/>
      <c r="BC101" s="244"/>
      <c r="BD101" s="241">
        <f t="shared" si="136"/>
        <v>0</v>
      </c>
      <c r="BF101" s="244"/>
      <c r="BG101" s="244"/>
      <c r="BH101" s="244"/>
      <c r="BI101" s="244"/>
      <c r="BJ101" s="244"/>
      <c r="BK101" s="244"/>
      <c r="BL101" s="241">
        <f t="shared" si="137"/>
        <v>0</v>
      </c>
      <c r="BN101" s="241">
        <f t="shared" si="138"/>
        <v>1236307.57</v>
      </c>
      <c r="BO101" s="241">
        <f t="shared" si="129"/>
        <v>0</v>
      </c>
      <c r="BP101" s="241">
        <f t="shared" si="129"/>
        <v>0</v>
      </c>
      <c r="BQ101" s="241">
        <f t="shared" si="129"/>
        <v>0</v>
      </c>
      <c r="BR101" s="241">
        <f t="shared" si="129"/>
        <v>0</v>
      </c>
      <c r="BS101" s="241">
        <f t="shared" si="129"/>
        <v>0</v>
      </c>
      <c r="BT101" s="241">
        <f t="shared" si="140"/>
        <v>1236307.57</v>
      </c>
    </row>
    <row r="102" spans="1:72" x14ac:dyDescent="0.25">
      <c r="A102" s="201" t="s">
        <v>238</v>
      </c>
      <c r="B102" s="244"/>
      <c r="C102" s="244"/>
      <c r="D102" s="244">
        <f>(20.5*8*180)+(23.25*8*180)</f>
        <v>63000</v>
      </c>
      <c r="E102" s="244"/>
      <c r="F102" s="244"/>
      <c r="G102" s="244"/>
      <c r="H102" s="241">
        <f t="shared" si="130"/>
        <v>63000</v>
      </c>
      <c r="J102" s="244"/>
      <c r="K102" s="244"/>
      <c r="L102" s="244">
        <f>(21.25*6*180*3)+(22.25*8*180*3)</f>
        <v>164970</v>
      </c>
      <c r="M102" s="244"/>
      <c r="N102" s="244"/>
      <c r="O102" s="244"/>
      <c r="P102" s="241">
        <f t="shared" si="131"/>
        <v>164970</v>
      </c>
      <c r="R102" s="244"/>
      <c r="S102" s="244"/>
      <c r="T102" s="244">
        <f>(20.5*7.5*180)+41200</f>
        <v>68875</v>
      </c>
      <c r="U102" s="244"/>
      <c r="V102" s="244"/>
      <c r="W102" s="244"/>
      <c r="X102" s="241">
        <f t="shared" si="132"/>
        <v>68875</v>
      </c>
      <c r="Z102" s="244"/>
      <c r="AA102" s="244"/>
      <c r="AB102" s="244">
        <f>(20.25*8*180)+(23.25*8*180)</f>
        <v>62640</v>
      </c>
      <c r="AC102" s="244"/>
      <c r="AD102" s="244"/>
      <c r="AE102" s="244"/>
      <c r="AF102" s="241">
        <f t="shared" si="133"/>
        <v>62640</v>
      </c>
      <c r="AH102" s="244"/>
      <c r="AI102" s="244"/>
      <c r="AJ102" s="244">
        <f>(20.5*6*180*3)+(21.5*8*180)</f>
        <v>97380</v>
      </c>
      <c r="AK102" s="244"/>
      <c r="AL102" s="244"/>
      <c r="AM102" s="244"/>
      <c r="AN102" s="241">
        <f t="shared" si="134"/>
        <v>97380</v>
      </c>
      <c r="AP102" s="244"/>
      <c r="AQ102" s="244"/>
      <c r="AR102" s="244">
        <f>(20.5*8*180)</f>
        <v>29520</v>
      </c>
      <c r="AS102" s="244"/>
      <c r="AT102" s="244"/>
      <c r="AU102" s="244"/>
      <c r="AV102" s="241">
        <f t="shared" si="135"/>
        <v>29520</v>
      </c>
      <c r="AX102" s="244"/>
      <c r="AY102" s="244"/>
      <c r="AZ102" s="244"/>
      <c r="BA102" s="244"/>
      <c r="BB102" s="244"/>
      <c r="BC102" s="244"/>
      <c r="BD102" s="241">
        <f t="shared" si="136"/>
        <v>0</v>
      </c>
      <c r="BF102" s="244"/>
      <c r="BG102" s="244"/>
      <c r="BH102" s="244">
        <f>(27.5*5*190)</f>
        <v>26125</v>
      </c>
      <c r="BI102" s="244"/>
      <c r="BJ102" s="244"/>
      <c r="BK102" s="244"/>
      <c r="BL102" s="241">
        <f t="shared" si="137"/>
        <v>26125</v>
      </c>
      <c r="BN102" s="241">
        <f t="shared" si="138"/>
        <v>0</v>
      </c>
      <c r="BO102" s="241">
        <f t="shared" si="129"/>
        <v>0</v>
      </c>
      <c r="BP102" s="241">
        <f t="shared" si="129"/>
        <v>512510</v>
      </c>
      <c r="BQ102" s="241">
        <f t="shared" si="129"/>
        <v>0</v>
      </c>
      <c r="BR102" s="241">
        <f t="shared" si="129"/>
        <v>0</v>
      </c>
      <c r="BS102" s="241">
        <f t="shared" si="129"/>
        <v>0</v>
      </c>
      <c r="BT102" s="241">
        <f t="shared" si="140"/>
        <v>512510</v>
      </c>
    </row>
    <row r="103" spans="1:72" x14ac:dyDescent="0.25">
      <c r="A103" s="201" t="s">
        <v>239</v>
      </c>
      <c r="B103" s="244"/>
      <c r="C103" s="244"/>
      <c r="D103" s="244"/>
      <c r="E103" s="244"/>
      <c r="F103" s="244"/>
      <c r="G103" s="244"/>
      <c r="H103" s="241">
        <f t="shared" si="130"/>
        <v>0</v>
      </c>
      <c r="J103" s="244"/>
      <c r="K103" s="244"/>
      <c r="L103" s="244"/>
      <c r="M103" s="244"/>
      <c r="N103" s="244"/>
      <c r="O103" s="244"/>
      <c r="P103" s="241">
        <f t="shared" si="131"/>
        <v>0</v>
      </c>
      <c r="R103" s="244"/>
      <c r="S103" s="244"/>
      <c r="T103" s="244"/>
      <c r="U103" s="244"/>
      <c r="V103" s="244"/>
      <c r="W103" s="244"/>
      <c r="X103" s="241">
        <f t="shared" si="132"/>
        <v>0</v>
      </c>
      <c r="Z103" s="244"/>
      <c r="AA103" s="244">
        <f>25750*1.01*1.01</f>
        <v>26267.575000000001</v>
      </c>
      <c r="AB103" s="244"/>
      <c r="AC103" s="244"/>
      <c r="AD103" s="244"/>
      <c r="AE103" s="244"/>
      <c r="AF103" s="241">
        <f t="shared" si="133"/>
        <v>26267.575000000001</v>
      </c>
      <c r="AH103" s="244">
        <f>49440*1.02</f>
        <v>50428.800000000003</v>
      </c>
      <c r="AI103" s="244"/>
      <c r="AJ103" s="244"/>
      <c r="AK103" s="244"/>
      <c r="AL103" s="244"/>
      <c r="AM103" s="244"/>
      <c r="AN103" s="241">
        <f t="shared" si="134"/>
        <v>50428.800000000003</v>
      </c>
      <c r="AP103" s="244"/>
      <c r="AQ103" s="244"/>
      <c r="AR103" s="244"/>
      <c r="AS103" s="244"/>
      <c r="AT103" s="244"/>
      <c r="AU103" s="244"/>
      <c r="AV103" s="241">
        <f t="shared" si="135"/>
        <v>0</v>
      </c>
      <c r="AX103" s="244"/>
      <c r="AY103" s="244"/>
      <c r="AZ103" s="244"/>
      <c r="BA103" s="244"/>
      <c r="BB103" s="244"/>
      <c r="BC103" s="244"/>
      <c r="BD103" s="241">
        <f t="shared" si="136"/>
        <v>0</v>
      </c>
      <c r="BF103" s="244"/>
      <c r="BG103" s="244"/>
      <c r="BH103" s="244"/>
      <c r="BI103" s="244"/>
      <c r="BJ103" s="244"/>
      <c r="BK103" s="244"/>
      <c r="BL103" s="241">
        <f t="shared" si="137"/>
        <v>0</v>
      </c>
      <c r="BN103" s="241">
        <f t="shared" si="138"/>
        <v>50428.800000000003</v>
      </c>
      <c r="BO103" s="241">
        <f t="shared" si="129"/>
        <v>26267.575000000001</v>
      </c>
      <c r="BP103" s="241">
        <f t="shared" si="129"/>
        <v>0</v>
      </c>
      <c r="BQ103" s="241">
        <f t="shared" si="129"/>
        <v>0</v>
      </c>
      <c r="BR103" s="241">
        <f t="shared" si="129"/>
        <v>0</v>
      </c>
      <c r="BS103" s="241">
        <f t="shared" si="129"/>
        <v>0</v>
      </c>
      <c r="BT103" s="241">
        <f t="shared" si="140"/>
        <v>76696.375</v>
      </c>
    </row>
    <row r="104" spans="1:72" x14ac:dyDescent="0.25">
      <c r="A104" s="201" t="s">
        <v>204</v>
      </c>
      <c r="B104" s="244"/>
      <c r="C104" s="244">
        <f>79250*1.01*1.01</f>
        <v>80842.925000000003</v>
      </c>
      <c r="D104" s="244"/>
      <c r="E104" s="244"/>
      <c r="F104" s="244"/>
      <c r="G104" s="244"/>
      <c r="H104" s="241">
        <f>SUM(B104:G104)</f>
        <v>80842.925000000003</v>
      </c>
      <c r="J104" s="242"/>
      <c r="K104" s="242">
        <f>92700*1.01*1.01</f>
        <v>94563.27</v>
      </c>
      <c r="L104" s="244"/>
      <c r="M104" s="244"/>
      <c r="N104" s="244"/>
      <c r="O104" s="244"/>
      <c r="P104" s="241">
        <f>SUM(J104:O104)</f>
        <v>94563.27</v>
      </c>
      <c r="R104" s="242"/>
      <c r="S104" s="242">
        <f>84400*1.01*1.01</f>
        <v>86096.44</v>
      </c>
      <c r="T104" s="244"/>
      <c r="U104" s="244"/>
      <c r="V104" s="244"/>
      <c r="W104" s="244"/>
      <c r="X104" s="241">
        <f>SUM(R104:W104)</f>
        <v>86096.44</v>
      </c>
      <c r="Z104" s="242"/>
      <c r="AA104" s="242">
        <f>59225*1.01*1.01</f>
        <v>60415.422500000001</v>
      </c>
      <c r="AB104" s="244"/>
      <c r="AC104" s="244"/>
      <c r="AD104" s="244"/>
      <c r="AE104" s="244"/>
      <c r="AF104" s="241">
        <f>SUM(Z104:AE104)</f>
        <v>60415.422500000001</v>
      </c>
      <c r="AH104" s="242"/>
      <c r="AI104" s="242"/>
      <c r="AJ104" s="244"/>
      <c r="AK104" s="244"/>
      <c r="AL104" s="244"/>
      <c r="AM104" s="244"/>
      <c r="AN104" s="241">
        <f>SUM(AH104:AM104)</f>
        <v>0</v>
      </c>
      <c r="AP104" s="242"/>
      <c r="AQ104" s="242">
        <f>75000*1.01*1.01</f>
        <v>76507.5</v>
      </c>
      <c r="AR104" s="244"/>
      <c r="AS104" s="244"/>
      <c r="AT104" s="244"/>
      <c r="AU104" s="244"/>
      <c r="AV104" s="241">
        <f>SUM(AP104:AU104)</f>
        <v>76507.5</v>
      </c>
      <c r="AX104" s="242"/>
      <c r="AY104" s="242"/>
      <c r="AZ104" s="244"/>
      <c r="BA104" s="244"/>
      <c r="BB104" s="244"/>
      <c r="BC104" s="244"/>
      <c r="BD104" s="241">
        <f>SUM(AX104:BC104)</f>
        <v>0</v>
      </c>
      <c r="BF104" s="244"/>
      <c r="BG104" s="244"/>
      <c r="BH104" s="244"/>
      <c r="BI104" s="244"/>
      <c r="BJ104" s="244"/>
      <c r="BK104" s="244"/>
      <c r="BL104" s="241">
        <f>SUM(BF104:BK104)</f>
        <v>0</v>
      </c>
      <c r="BN104" s="241">
        <f t="shared" si="138"/>
        <v>0</v>
      </c>
      <c r="BO104" s="241">
        <f t="shared" si="129"/>
        <v>398425.5575</v>
      </c>
      <c r="BP104" s="241">
        <f t="shared" si="129"/>
        <v>0</v>
      </c>
      <c r="BQ104" s="241">
        <f t="shared" si="129"/>
        <v>0</v>
      </c>
      <c r="BR104" s="241">
        <f t="shared" si="129"/>
        <v>0</v>
      </c>
      <c r="BS104" s="241">
        <f t="shared" si="129"/>
        <v>0</v>
      </c>
      <c r="BT104" s="241">
        <f>SUM(BN104:BS104)</f>
        <v>398425.5575</v>
      </c>
    </row>
    <row r="105" spans="1:72" x14ac:dyDescent="0.25">
      <c r="A105" s="201" t="s">
        <v>240</v>
      </c>
      <c r="B105" s="244"/>
      <c r="C105" s="244"/>
      <c r="D105" s="244"/>
      <c r="E105" s="244"/>
      <c r="F105" s="244"/>
      <c r="G105" s="244"/>
      <c r="H105" s="241">
        <f>SUM(B105:G105)</f>
        <v>0</v>
      </c>
      <c r="J105" s="244"/>
      <c r="K105" s="244">
        <f>63860*1.01*1.01</f>
        <v>65143.585999999996</v>
      </c>
      <c r="L105" s="244"/>
      <c r="M105" s="244"/>
      <c r="N105" s="244"/>
      <c r="O105" s="244"/>
      <c r="P105" s="241">
        <f>SUM(J105:O105)</f>
        <v>65143.585999999996</v>
      </c>
      <c r="R105" s="244"/>
      <c r="S105" s="244"/>
      <c r="T105" s="244"/>
      <c r="U105" s="244"/>
      <c r="V105" s="244"/>
      <c r="W105" s="244"/>
      <c r="X105" s="241">
        <f>SUM(R105:W105)</f>
        <v>0</v>
      </c>
      <c r="Z105" s="242"/>
      <c r="AA105" s="244">
        <f>54848*1.01*1.01</f>
        <v>55950.444800000005</v>
      </c>
      <c r="AB105" s="244"/>
      <c r="AC105" s="244"/>
      <c r="AD105" s="244"/>
      <c r="AE105" s="244"/>
      <c r="AF105" s="241">
        <f>SUM(Z105:AE105)</f>
        <v>55950.444800000005</v>
      </c>
      <c r="AH105" s="242">
        <v>0</v>
      </c>
      <c r="AI105" s="244"/>
      <c r="AJ105" s="244"/>
      <c r="AK105" s="244"/>
      <c r="AL105" s="244"/>
      <c r="AM105" s="244"/>
      <c r="AN105" s="241">
        <f>SUM(AH105:AM105)</f>
        <v>0</v>
      </c>
      <c r="AP105" s="244"/>
      <c r="AQ105" s="244"/>
      <c r="AR105" s="244"/>
      <c r="AS105" s="244"/>
      <c r="AT105" s="244"/>
      <c r="AU105" s="244"/>
      <c r="AV105" s="241">
        <f>SUM(AP105:AU105)</f>
        <v>0</v>
      </c>
      <c r="AX105" s="244"/>
      <c r="AY105" s="244"/>
      <c r="AZ105" s="244"/>
      <c r="BA105" s="244"/>
      <c r="BB105" s="244"/>
      <c r="BC105" s="244"/>
      <c r="BD105" s="241">
        <f>SUM(AX105:BC105)</f>
        <v>0</v>
      </c>
      <c r="BF105" s="244"/>
      <c r="BG105" s="244"/>
      <c r="BH105" s="244"/>
      <c r="BI105" s="244"/>
      <c r="BJ105" s="244"/>
      <c r="BK105" s="244"/>
      <c r="BL105" s="241">
        <f>SUM(BF105:BK105)</f>
        <v>0</v>
      </c>
      <c r="BN105" s="241">
        <f t="shared" si="138"/>
        <v>0</v>
      </c>
      <c r="BO105" s="241">
        <f t="shared" si="129"/>
        <v>121094.03080000001</v>
      </c>
      <c r="BP105" s="241">
        <f t="shared" si="129"/>
        <v>0</v>
      </c>
      <c r="BQ105" s="241">
        <f t="shared" si="129"/>
        <v>0</v>
      </c>
      <c r="BR105" s="241">
        <f t="shared" si="129"/>
        <v>0</v>
      </c>
      <c r="BS105" s="241">
        <f t="shared" si="129"/>
        <v>0</v>
      </c>
      <c r="BT105" s="241">
        <f>SUM(BN105:BS105)</f>
        <v>121094.03080000001</v>
      </c>
    </row>
    <row r="106" spans="1:72" x14ac:dyDescent="0.25">
      <c r="A106" s="201" t="s">
        <v>241</v>
      </c>
      <c r="B106" s="244"/>
      <c r="C106" s="244"/>
      <c r="D106" s="244"/>
      <c r="E106" s="244"/>
      <c r="F106" s="244"/>
      <c r="G106" s="244"/>
      <c r="H106" s="241">
        <f>SUM(B106:G106)</f>
        <v>0</v>
      </c>
      <c r="J106" s="244"/>
      <c r="K106" s="244">
        <f>98880*1.01*1.01</f>
        <v>100867.488</v>
      </c>
      <c r="L106" s="244"/>
      <c r="M106" s="244"/>
      <c r="N106" s="244"/>
      <c r="O106" s="244"/>
      <c r="P106" s="241">
        <f>SUM(J106:O106)</f>
        <v>100867.488</v>
      </c>
      <c r="R106" s="244"/>
      <c r="S106" s="244">
        <f>46063*1.01*1.01</f>
        <v>46988.866299999994</v>
      </c>
      <c r="T106" s="244"/>
      <c r="U106" s="244"/>
      <c r="V106" s="244"/>
      <c r="W106" s="244"/>
      <c r="X106" s="241">
        <f>SUM(R106:W106)</f>
        <v>46988.866299999994</v>
      </c>
      <c r="Z106" s="244"/>
      <c r="AA106" s="244">
        <f>45063*1.01*1.01</f>
        <v>45968.766299999996</v>
      </c>
      <c r="AB106" s="244"/>
      <c r="AC106" s="244"/>
      <c r="AD106" s="244"/>
      <c r="AE106" s="244"/>
      <c r="AF106" s="241">
        <f>SUM(Z106:AE106)</f>
        <v>45968.766299999996</v>
      </c>
      <c r="AH106" s="244"/>
      <c r="AI106" s="244">
        <f>94700*1.01*1.01</f>
        <v>96603.47</v>
      </c>
      <c r="AJ106" s="244"/>
      <c r="AK106" s="244"/>
      <c r="AL106" s="244"/>
      <c r="AM106" s="244"/>
      <c r="AN106" s="241">
        <f>SUM(AH106:AM106)</f>
        <v>96603.47</v>
      </c>
      <c r="AP106" s="244"/>
      <c r="AQ106" s="244"/>
      <c r="AR106" s="244"/>
      <c r="AS106" s="244"/>
      <c r="AT106" s="244"/>
      <c r="AU106" s="244"/>
      <c r="AV106" s="241">
        <f>SUM(AP106:AU106)</f>
        <v>0</v>
      </c>
      <c r="AX106" s="244"/>
      <c r="AY106" s="244"/>
      <c r="AZ106" s="244"/>
      <c r="BA106" s="244"/>
      <c r="BB106" s="244"/>
      <c r="BC106" s="244"/>
      <c r="BD106" s="241">
        <f>SUM(AX106:BC106)</f>
        <v>0</v>
      </c>
      <c r="BF106" s="244"/>
      <c r="BG106" s="244"/>
      <c r="BH106" s="244"/>
      <c r="BI106" s="244"/>
      <c r="BJ106" s="244"/>
      <c r="BK106" s="244"/>
      <c r="BL106" s="241">
        <f>SUM(BF106:BK106)</f>
        <v>0</v>
      </c>
      <c r="BN106" s="241">
        <f t="shared" si="138"/>
        <v>0</v>
      </c>
      <c r="BO106" s="241">
        <f t="shared" si="129"/>
        <v>290428.5906</v>
      </c>
      <c r="BP106" s="241">
        <f t="shared" si="129"/>
        <v>0</v>
      </c>
      <c r="BQ106" s="241">
        <f t="shared" si="129"/>
        <v>0</v>
      </c>
      <c r="BR106" s="241">
        <f t="shared" si="129"/>
        <v>0</v>
      </c>
      <c r="BS106" s="241">
        <f t="shared" si="129"/>
        <v>0</v>
      </c>
      <c r="BT106" s="241">
        <f>SUM(BN106:BS106)</f>
        <v>290428.5906</v>
      </c>
    </row>
    <row r="107" spans="1:72" x14ac:dyDescent="0.25">
      <c r="A107" s="201" t="s">
        <v>208</v>
      </c>
      <c r="B107" s="244"/>
      <c r="C107" s="244"/>
      <c r="D107" s="244"/>
      <c r="E107" s="244"/>
      <c r="F107" s="244"/>
      <c r="G107" s="244"/>
      <c r="H107" s="241">
        <f t="shared" si="130"/>
        <v>0</v>
      </c>
      <c r="J107" s="244">
        <f>75396*1.01*1.01</f>
        <v>76911.459600000002</v>
      </c>
      <c r="K107" s="244"/>
      <c r="L107" s="244"/>
      <c r="M107" s="244"/>
      <c r="N107" s="244"/>
      <c r="O107" s="244"/>
      <c r="P107" s="241">
        <f t="shared" si="131"/>
        <v>76911.459600000002</v>
      </c>
      <c r="R107" s="244">
        <f>33960*1.01*1.01</f>
        <v>34642.595999999998</v>
      </c>
      <c r="S107" s="244"/>
      <c r="T107" s="244"/>
      <c r="U107" s="244"/>
      <c r="V107" s="244"/>
      <c r="W107" s="244"/>
      <c r="X107" s="241">
        <f t="shared" si="132"/>
        <v>34642.595999999998</v>
      </c>
      <c r="Z107" s="244">
        <f>32960*1.01*1.01</f>
        <v>33622.495999999999</v>
      </c>
      <c r="AA107" s="244"/>
      <c r="AB107" s="244"/>
      <c r="AC107" s="244"/>
      <c r="AD107" s="244"/>
      <c r="AE107" s="244"/>
      <c r="AF107" s="241">
        <f t="shared" si="133"/>
        <v>33622.495999999999</v>
      </c>
      <c r="AH107" s="244">
        <f>78000*1.01*1.01</f>
        <v>79567.8</v>
      </c>
      <c r="AI107" s="244"/>
      <c r="AJ107" s="244"/>
      <c r="AK107" s="244"/>
      <c r="AL107" s="244"/>
      <c r="AM107" s="244"/>
      <c r="AN107" s="241">
        <f t="shared" si="134"/>
        <v>79567.8</v>
      </c>
      <c r="AP107" s="244"/>
      <c r="AQ107" s="244"/>
      <c r="AR107" s="244"/>
      <c r="AS107" s="244"/>
      <c r="AT107" s="244"/>
      <c r="AU107" s="244"/>
      <c r="AV107" s="241">
        <f t="shared" si="135"/>
        <v>0</v>
      </c>
      <c r="AX107" s="244"/>
      <c r="AY107" s="244"/>
      <c r="AZ107" s="244"/>
      <c r="BA107" s="244"/>
      <c r="BB107" s="244"/>
      <c r="BC107" s="244"/>
      <c r="BD107" s="241">
        <f t="shared" si="136"/>
        <v>0</v>
      </c>
      <c r="BF107" s="244"/>
      <c r="BG107" s="244"/>
      <c r="BH107" s="244"/>
      <c r="BI107" s="244"/>
      <c r="BJ107" s="244"/>
      <c r="BK107" s="244"/>
      <c r="BL107" s="241">
        <f t="shared" si="137"/>
        <v>0</v>
      </c>
      <c r="BN107" s="241">
        <f t="shared" si="138"/>
        <v>224744.35159999999</v>
      </c>
      <c r="BO107" s="241">
        <f t="shared" si="129"/>
        <v>0</v>
      </c>
      <c r="BP107" s="241">
        <f t="shared" si="129"/>
        <v>0</v>
      </c>
      <c r="BQ107" s="241">
        <f t="shared" si="129"/>
        <v>0</v>
      </c>
      <c r="BR107" s="241">
        <f t="shared" si="129"/>
        <v>0</v>
      </c>
      <c r="BS107" s="241">
        <f t="shared" si="129"/>
        <v>0</v>
      </c>
      <c r="BT107" s="241">
        <f t="shared" ref="BT107:BT108" si="141">SUM(BN107:BS107)</f>
        <v>224744.35159999999</v>
      </c>
    </row>
    <row r="108" spans="1:72" x14ac:dyDescent="0.25">
      <c r="A108" s="202" t="s">
        <v>242</v>
      </c>
      <c r="B108" s="245">
        <f>31000*1.01*1.01</f>
        <v>31623.1</v>
      </c>
      <c r="C108" s="245"/>
      <c r="D108" s="245"/>
      <c r="E108" s="245"/>
      <c r="F108" s="245"/>
      <c r="G108" s="245"/>
      <c r="H108" s="241">
        <f t="shared" si="130"/>
        <v>31623.1</v>
      </c>
      <c r="J108" s="245">
        <f>56650*1.01*1.01</f>
        <v>57788.665000000001</v>
      </c>
      <c r="K108" s="245"/>
      <c r="L108" s="245"/>
      <c r="M108" s="245"/>
      <c r="N108" s="245"/>
      <c r="O108" s="245"/>
      <c r="P108" s="241">
        <f t="shared" si="131"/>
        <v>57788.665000000001</v>
      </c>
      <c r="R108" s="245"/>
      <c r="S108" s="245"/>
      <c r="T108" s="245"/>
      <c r="U108" s="245"/>
      <c r="V108" s="245"/>
      <c r="W108" s="245"/>
      <c r="X108" s="241">
        <f t="shared" si="132"/>
        <v>0</v>
      </c>
      <c r="Z108" s="245">
        <f>61800*1.01*1.01</f>
        <v>63042.18</v>
      </c>
      <c r="AA108" s="245"/>
      <c r="AB108" s="245"/>
      <c r="AC108" s="245"/>
      <c r="AD108" s="245"/>
      <c r="AE108" s="245"/>
      <c r="AF108" s="241">
        <f t="shared" si="133"/>
        <v>63042.18</v>
      </c>
      <c r="AH108" s="245">
        <f>(63000)*1.01*1.01</f>
        <v>64266.3</v>
      </c>
      <c r="AI108" s="245"/>
      <c r="AJ108" s="245"/>
      <c r="AK108" s="245"/>
      <c r="AL108" s="245"/>
      <c r="AM108" s="245"/>
      <c r="AN108" s="241">
        <f t="shared" si="134"/>
        <v>64266.3</v>
      </c>
      <c r="AP108" s="245"/>
      <c r="AQ108" s="245"/>
      <c r="AR108" s="245"/>
      <c r="AS108" s="245"/>
      <c r="AT108" s="245"/>
      <c r="AU108" s="245"/>
      <c r="AV108" s="241">
        <f t="shared" si="135"/>
        <v>0</v>
      </c>
      <c r="AX108" s="245"/>
      <c r="AY108" s="245"/>
      <c r="AZ108" s="245"/>
      <c r="BA108" s="245"/>
      <c r="BB108" s="245"/>
      <c r="BC108" s="245"/>
      <c r="BD108" s="241">
        <f t="shared" si="136"/>
        <v>0</v>
      </c>
      <c r="BF108" s="245"/>
      <c r="BG108" s="245"/>
      <c r="BH108" s="245"/>
      <c r="BI108" s="245"/>
      <c r="BJ108" s="245"/>
      <c r="BK108" s="245"/>
      <c r="BL108" s="241">
        <f t="shared" si="137"/>
        <v>0</v>
      </c>
      <c r="BN108" s="241">
        <f t="shared" si="138"/>
        <v>216720.245</v>
      </c>
      <c r="BO108" s="241">
        <f t="shared" si="129"/>
        <v>0</v>
      </c>
      <c r="BP108" s="241">
        <f t="shared" si="129"/>
        <v>0</v>
      </c>
      <c r="BQ108" s="241">
        <f t="shared" si="129"/>
        <v>0</v>
      </c>
      <c r="BR108" s="241">
        <f t="shared" si="129"/>
        <v>0</v>
      </c>
      <c r="BS108" s="241">
        <f t="shared" si="129"/>
        <v>0</v>
      </c>
      <c r="BT108" s="241">
        <f t="shared" si="141"/>
        <v>216720.245</v>
      </c>
    </row>
    <row r="109" spans="1:72" x14ac:dyDescent="0.25">
      <c r="A109" s="207" t="s">
        <v>329</v>
      </c>
      <c r="B109" s="258">
        <f t="shared" ref="B109:H109" si="142">SUM(B93:B108)</f>
        <v>752930.289536</v>
      </c>
      <c r="C109" s="258">
        <f t="shared" si="142"/>
        <v>174692.125</v>
      </c>
      <c r="D109" s="258">
        <f t="shared" si="142"/>
        <v>63000</v>
      </c>
      <c r="E109" s="258">
        <f t="shared" si="142"/>
        <v>0</v>
      </c>
      <c r="F109" s="258">
        <f t="shared" si="142"/>
        <v>0</v>
      </c>
      <c r="G109" s="258">
        <f t="shared" si="142"/>
        <v>0</v>
      </c>
      <c r="H109" s="258">
        <f t="shared" si="142"/>
        <v>990622.414536</v>
      </c>
      <c r="J109" s="258">
        <f t="shared" ref="J109:P109" si="143">SUM(J93:J108)</f>
        <v>2770574.6951600001</v>
      </c>
      <c r="K109" s="258">
        <f t="shared" si="143"/>
        <v>260574.34399999998</v>
      </c>
      <c r="L109" s="258">
        <f t="shared" si="143"/>
        <v>164970</v>
      </c>
      <c r="M109" s="258">
        <f t="shared" si="143"/>
        <v>0</v>
      </c>
      <c r="N109" s="258">
        <f t="shared" si="143"/>
        <v>0</v>
      </c>
      <c r="O109" s="258">
        <f t="shared" si="143"/>
        <v>0</v>
      </c>
      <c r="P109" s="258">
        <f t="shared" si="143"/>
        <v>3196119.0391600002</v>
      </c>
      <c r="R109" s="258">
        <f t="shared" ref="R109:X109" si="144">SUM(R93:R108)</f>
        <v>1017040.6980879999</v>
      </c>
      <c r="S109" s="258">
        <f t="shared" si="144"/>
        <v>133085.3063</v>
      </c>
      <c r="T109" s="258">
        <f t="shared" si="144"/>
        <v>68875</v>
      </c>
      <c r="U109" s="258">
        <f t="shared" si="144"/>
        <v>0</v>
      </c>
      <c r="V109" s="258">
        <f t="shared" si="144"/>
        <v>0</v>
      </c>
      <c r="W109" s="258">
        <f t="shared" si="144"/>
        <v>0</v>
      </c>
      <c r="X109" s="258">
        <f t="shared" si="144"/>
        <v>1219001.0043879999</v>
      </c>
      <c r="Z109" s="258">
        <f t="shared" ref="Z109:AF109" si="145">SUM(Z93:Z108)</f>
        <v>954596.91622400004</v>
      </c>
      <c r="AA109" s="258">
        <f t="shared" si="145"/>
        <v>188602.20859999998</v>
      </c>
      <c r="AB109" s="258">
        <f t="shared" si="145"/>
        <v>62640</v>
      </c>
      <c r="AC109" s="258">
        <f t="shared" si="145"/>
        <v>0</v>
      </c>
      <c r="AD109" s="258">
        <f t="shared" si="145"/>
        <v>0</v>
      </c>
      <c r="AE109" s="258">
        <f t="shared" si="145"/>
        <v>0</v>
      </c>
      <c r="AF109" s="258">
        <f t="shared" si="145"/>
        <v>1205839.1248239998</v>
      </c>
      <c r="AH109" s="258">
        <f t="shared" ref="AH109:AN109" si="146">SUM(AH93:AH108)</f>
        <v>2196989.3907999997</v>
      </c>
      <c r="AI109" s="258">
        <f t="shared" si="146"/>
        <v>96603.47</v>
      </c>
      <c r="AJ109" s="258">
        <f t="shared" si="146"/>
        <v>97380</v>
      </c>
      <c r="AK109" s="258">
        <f t="shared" si="146"/>
        <v>0</v>
      </c>
      <c r="AL109" s="258">
        <f t="shared" si="146"/>
        <v>0</v>
      </c>
      <c r="AM109" s="258">
        <f t="shared" si="146"/>
        <v>0</v>
      </c>
      <c r="AN109" s="258">
        <f t="shared" si="146"/>
        <v>2390972.8607999994</v>
      </c>
      <c r="AP109" s="258">
        <f t="shared" ref="AP109:AV109" si="147">SUM(AP93:AP108)</f>
        <v>500273.32</v>
      </c>
      <c r="AQ109" s="258">
        <f t="shared" si="147"/>
        <v>76507.5</v>
      </c>
      <c r="AR109" s="258">
        <f t="shared" si="147"/>
        <v>29520</v>
      </c>
      <c r="AS109" s="258">
        <f t="shared" si="147"/>
        <v>0</v>
      </c>
      <c r="AT109" s="258">
        <f t="shared" si="147"/>
        <v>0</v>
      </c>
      <c r="AU109" s="258">
        <f t="shared" si="147"/>
        <v>0</v>
      </c>
      <c r="AV109" s="258">
        <f t="shared" si="147"/>
        <v>606300.82000000007</v>
      </c>
      <c r="AX109" s="258">
        <f t="shared" ref="AX109:BD109" si="148">SUM(AX93:AX108)</f>
        <v>0</v>
      </c>
      <c r="AY109" s="258">
        <f t="shared" si="148"/>
        <v>0</v>
      </c>
      <c r="AZ109" s="258">
        <f t="shared" si="148"/>
        <v>0</v>
      </c>
      <c r="BA109" s="258">
        <f t="shared" si="148"/>
        <v>0</v>
      </c>
      <c r="BB109" s="258">
        <f t="shared" si="148"/>
        <v>0</v>
      </c>
      <c r="BC109" s="258">
        <f t="shared" si="148"/>
        <v>0</v>
      </c>
      <c r="BD109" s="258">
        <f t="shared" si="148"/>
        <v>0</v>
      </c>
      <c r="BF109" s="258">
        <f t="shared" ref="BF109:BL109" si="149">SUM(BF93:BF108)</f>
        <v>242222.745</v>
      </c>
      <c r="BG109" s="258">
        <f t="shared" si="149"/>
        <v>0</v>
      </c>
      <c r="BH109" s="258">
        <f t="shared" si="149"/>
        <v>26125</v>
      </c>
      <c r="BI109" s="258">
        <f t="shared" si="149"/>
        <v>0</v>
      </c>
      <c r="BJ109" s="258">
        <f t="shared" si="149"/>
        <v>0</v>
      </c>
      <c r="BK109" s="258">
        <f t="shared" si="149"/>
        <v>0</v>
      </c>
      <c r="BL109" s="258">
        <f t="shared" si="149"/>
        <v>268347.745</v>
      </c>
      <c r="BN109" s="258">
        <f t="shared" ref="BN109:BT109" si="150">SUM(BN93:BN108)</f>
        <v>8434628.0548080001</v>
      </c>
      <c r="BO109" s="258">
        <f t="shared" si="150"/>
        <v>930064.95390000008</v>
      </c>
      <c r="BP109" s="258">
        <f t="shared" si="150"/>
        <v>512510</v>
      </c>
      <c r="BQ109" s="258">
        <f t="shared" si="150"/>
        <v>0</v>
      </c>
      <c r="BR109" s="258">
        <f t="shared" si="150"/>
        <v>0</v>
      </c>
      <c r="BS109" s="258">
        <f t="shared" si="150"/>
        <v>0</v>
      </c>
      <c r="BT109" s="258">
        <f t="shared" si="150"/>
        <v>9877203.0087080002</v>
      </c>
    </row>
    <row r="110" spans="1:72" x14ac:dyDescent="0.25">
      <c r="A110" s="200" t="s">
        <v>368</v>
      </c>
      <c r="B110" s="257">
        <f>B109*0.3775</f>
        <v>284231.18429984001</v>
      </c>
      <c r="C110" s="257">
        <f t="shared" ref="C110:G110" si="151">C109*0.3775</f>
        <v>65946.277187500003</v>
      </c>
      <c r="D110" s="257">
        <f t="shared" si="151"/>
        <v>23782.5</v>
      </c>
      <c r="E110" s="257">
        <f t="shared" si="151"/>
        <v>0</v>
      </c>
      <c r="F110" s="257">
        <f t="shared" si="151"/>
        <v>0</v>
      </c>
      <c r="G110" s="257">
        <f t="shared" si="151"/>
        <v>0</v>
      </c>
      <c r="H110" s="241">
        <f t="shared" si="130"/>
        <v>373959.96148734004</v>
      </c>
      <c r="J110" s="257">
        <f>J109*0.3775</f>
        <v>1045891.9474229</v>
      </c>
      <c r="K110" s="257">
        <f t="shared" ref="K110:O110" si="152">K109*0.3775</f>
        <v>98366.814859999999</v>
      </c>
      <c r="L110" s="257">
        <f t="shared" si="152"/>
        <v>62276.175000000003</v>
      </c>
      <c r="M110" s="257">
        <f t="shared" si="152"/>
        <v>0</v>
      </c>
      <c r="N110" s="257">
        <f t="shared" si="152"/>
        <v>0</v>
      </c>
      <c r="O110" s="257">
        <f t="shared" si="152"/>
        <v>0</v>
      </c>
      <c r="P110" s="241">
        <f t="shared" si="131"/>
        <v>1206534.9372829001</v>
      </c>
      <c r="R110" s="257">
        <f>R109*0.3775</f>
        <v>383932.86352821998</v>
      </c>
      <c r="S110" s="257">
        <f t="shared" ref="S110:W110" si="153">S109*0.3775</f>
        <v>50239.703128249996</v>
      </c>
      <c r="T110" s="257">
        <f t="shared" si="153"/>
        <v>26000.3125</v>
      </c>
      <c r="U110" s="257">
        <f t="shared" si="153"/>
        <v>0</v>
      </c>
      <c r="V110" s="257">
        <f t="shared" si="153"/>
        <v>0</v>
      </c>
      <c r="W110" s="257">
        <f t="shared" si="153"/>
        <v>0</v>
      </c>
      <c r="X110" s="241">
        <f t="shared" si="132"/>
        <v>460172.87915646995</v>
      </c>
      <c r="Z110" s="257">
        <f>(Z109-Z93)*0.3775+(Z93*0.1)</f>
        <v>293911.89399140002</v>
      </c>
      <c r="AA110" s="257">
        <f>AA109*0.3775</f>
        <v>71197.333746499993</v>
      </c>
      <c r="AB110" s="257">
        <f t="shared" ref="AB110:AE110" si="154">AB109*0.3775</f>
        <v>23646.6</v>
      </c>
      <c r="AC110" s="257">
        <f t="shared" si="154"/>
        <v>0</v>
      </c>
      <c r="AD110" s="257">
        <f t="shared" si="154"/>
        <v>0</v>
      </c>
      <c r="AE110" s="257">
        <f t="shared" si="154"/>
        <v>0</v>
      </c>
      <c r="AF110" s="241">
        <f t="shared" si="133"/>
        <v>388755.82773789996</v>
      </c>
      <c r="AH110" s="257">
        <f>AH109*0.3775</f>
        <v>829363.49502699985</v>
      </c>
      <c r="AI110" s="257">
        <f t="shared" ref="AI110:AM110" si="155">AI109*0.3775</f>
        <v>36467.809925000001</v>
      </c>
      <c r="AJ110" s="257">
        <f t="shared" si="155"/>
        <v>36760.949999999997</v>
      </c>
      <c r="AK110" s="257">
        <f t="shared" si="155"/>
        <v>0</v>
      </c>
      <c r="AL110" s="257">
        <f t="shared" si="155"/>
        <v>0</v>
      </c>
      <c r="AM110" s="257">
        <f t="shared" si="155"/>
        <v>0</v>
      </c>
      <c r="AN110" s="241">
        <f t="shared" si="134"/>
        <v>902592.25495199976</v>
      </c>
      <c r="AP110" s="257">
        <f>(AP109)*0.3775</f>
        <v>188853.1783</v>
      </c>
      <c r="AQ110" s="257">
        <f t="shared" ref="AQ110:AU110" si="156">(AQ109)*0.3775</f>
        <v>28881.581249999999</v>
      </c>
      <c r="AR110" s="257">
        <f t="shared" si="156"/>
        <v>11143.8</v>
      </c>
      <c r="AS110" s="257">
        <f t="shared" si="156"/>
        <v>0</v>
      </c>
      <c r="AT110" s="257">
        <f t="shared" si="156"/>
        <v>0</v>
      </c>
      <c r="AU110" s="257">
        <f t="shared" si="156"/>
        <v>0</v>
      </c>
      <c r="AV110" s="241">
        <f t="shared" si="135"/>
        <v>228878.55954999998</v>
      </c>
      <c r="AX110" s="257">
        <f>(AX109-AX93)*0.3675+(AX93*0.1)</f>
        <v>0</v>
      </c>
      <c r="AY110" s="257">
        <f t="shared" ref="AY110:BC110" si="157">AY109*0.3675</f>
        <v>0</v>
      </c>
      <c r="AZ110" s="257">
        <f t="shared" si="157"/>
        <v>0</v>
      </c>
      <c r="BA110" s="257">
        <f t="shared" si="157"/>
        <v>0</v>
      </c>
      <c r="BB110" s="257">
        <f t="shared" si="157"/>
        <v>0</v>
      </c>
      <c r="BC110" s="257">
        <f t="shared" si="157"/>
        <v>0</v>
      </c>
      <c r="BD110" s="241">
        <f t="shared" si="136"/>
        <v>0</v>
      </c>
      <c r="BF110" s="241">
        <f>BF109*0.3775</f>
        <v>91439.0862375</v>
      </c>
      <c r="BG110" s="241">
        <f t="shared" ref="BG110:BK110" si="158">BG109*0.3775</f>
        <v>0</v>
      </c>
      <c r="BH110" s="241">
        <f t="shared" si="158"/>
        <v>9862.1875</v>
      </c>
      <c r="BI110" s="241">
        <f t="shared" si="158"/>
        <v>0</v>
      </c>
      <c r="BJ110" s="241">
        <f t="shared" si="158"/>
        <v>0</v>
      </c>
      <c r="BK110" s="241">
        <f t="shared" si="158"/>
        <v>0</v>
      </c>
      <c r="BL110" s="241">
        <f t="shared" si="137"/>
        <v>101301.2737375</v>
      </c>
      <c r="BN110" s="241">
        <f>B110+J110+R110+Z110+AH110+AP110+AX110+BF110</f>
        <v>3117623.6488068593</v>
      </c>
      <c r="BO110" s="241">
        <f t="shared" ref="BO110:BS115" si="159">C110+K110+S110+AA110+AI110+AQ110+AY110+BG110</f>
        <v>351099.52009725</v>
      </c>
      <c r="BP110" s="241">
        <f t="shared" si="159"/>
        <v>193472.52499999997</v>
      </c>
      <c r="BQ110" s="241">
        <f t="shared" si="159"/>
        <v>0</v>
      </c>
      <c r="BR110" s="241">
        <f t="shared" si="159"/>
        <v>0</v>
      </c>
      <c r="BS110" s="241">
        <f t="shared" si="159"/>
        <v>0</v>
      </c>
      <c r="BT110" s="241">
        <f t="shared" ref="BT110:BT115" si="160">SUM(BN110:BS110)</f>
        <v>3662195.6939041093</v>
      </c>
    </row>
    <row r="111" spans="1:72" x14ac:dyDescent="0.25">
      <c r="A111" s="201" t="s">
        <v>244</v>
      </c>
      <c r="B111" s="242">
        <f>(((9075*(B64*0.8))+((210*(B64*0.85))+((80*(B64*0.825))+(B64*60)+(B109*0.015)+(B109*0.03)))))</f>
        <v>132220.36302912</v>
      </c>
      <c r="C111" s="242">
        <f t="shared" ref="C111:G111" si="161">(((9075*(C64*0.8))+((210*(C64*0.85))+((80*(C64*0.825))+(C64*60)+(C109*0.015)+(C109*0.03)))))</f>
        <v>15425.645625000001</v>
      </c>
      <c r="D111" s="242">
        <f>(((9075*(D64*0.8))+((210*(D64*0.85))+((80*(D64*0.825))+(D64*60)+(D109*0.015)+(D109*0.03)))))*0.5</f>
        <v>8982</v>
      </c>
      <c r="E111" s="242">
        <f t="shared" si="161"/>
        <v>0</v>
      </c>
      <c r="F111" s="242">
        <f t="shared" si="161"/>
        <v>0</v>
      </c>
      <c r="G111" s="242">
        <f t="shared" si="161"/>
        <v>0</v>
      </c>
      <c r="H111" s="241">
        <f t="shared" si="130"/>
        <v>156628.00865412</v>
      </c>
      <c r="J111" s="242">
        <f>(((9075*(J64*0.8))+((210*(J64*0.85))+((80*(J64*0.825))+(J64*60)+(J109*0.015)+(J109*0.03)))))</f>
        <v>442384.86128219997</v>
      </c>
      <c r="K111" s="242">
        <f t="shared" ref="K111:O111" si="162">(((9075*(K64*0.8))+((210*(K64*0.85))+((80*(K64*0.825))+(K64*60)+(K109*0.015)+(K109*0.03)))))</f>
        <v>34419.345480000004</v>
      </c>
      <c r="L111" s="242">
        <f>(((9075*(L64*0.8))+((210*(L64*0.85))+((80*(L64*0.825))+(L64*60)+(L109*0.015)+(L109*0.03)))))*0.75</f>
        <v>39607.987500000003</v>
      </c>
      <c r="M111" s="242">
        <f t="shared" si="162"/>
        <v>0</v>
      </c>
      <c r="N111" s="242">
        <f t="shared" si="162"/>
        <v>0</v>
      </c>
      <c r="O111" s="242">
        <f t="shared" si="162"/>
        <v>0</v>
      </c>
      <c r="P111" s="241">
        <f t="shared" si="131"/>
        <v>516412.19426219998</v>
      </c>
      <c r="R111" s="242">
        <f>(((9075*(R64*0.8))+((210*(R64*0.85))+((80*(R64*0.825))+(R64*60)+(R109*0.015)+(R109*0.03)))))</f>
        <v>163016.58141396</v>
      </c>
      <c r="S111" s="242">
        <f t="shared" ref="S111:W111" si="163">(((9075*(S64*0.8))+((210*(S64*0.85))+((80*(S64*0.825))+(S64*60)+(S109*0.015)+(S109*0.03)))))</f>
        <v>17335.588783500003</v>
      </c>
      <c r="T111" s="242">
        <f>(((9075*(T64*0.8))+((210*(T64*0.85))+((80*(T64*0.825))+(T64*60)+(T109*0.015)+(T109*0.03)))))*0.75</f>
        <v>13671.28125</v>
      </c>
      <c r="U111" s="242">
        <f t="shared" si="163"/>
        <v>0</v>
      </c>
      <c r="V111" s="242">
        <f t="shared" si="163"/>
        <v>0</v>
      </c>
      <c r="W111" s="242">
        <f t="shared" si="163"/>
        <v>0</v>
      </c>
      <c r="X111" s="241">
        <f t="shared" si="132"/>
        <v>194023.45144745999</v>
      </c>
      <c r="Z111" s="242">
        <f>(((9075*(Z64*0.8))+((210*(Z64*0.85))+((80*(Z64*0.825))+(Z64*60)+(Z109*0.015)+(Z109*0.03)))))</f>
        <v>145077.61123008002</v>
      </c>
      <c r="AA111" s="242">
        <f t="shared" ref="AA111:AE111" si="164">(((9075*(AA64*0.8))+((210*(AA64*0.85))+((80*(AA64*0.825))+(AA64*60)+(AA109*0.015)+(AA109*0.03)))))</f>
        <v>29894.634387000002</v>
      </c>
      <c r="AB111" s="242">
        <f t="shared" si="164"/>
        <v>17947.8</v>
      </c>
      <c r="AC111" s="242">
        <f t="shared" si="164"/>
        <v>0</v>
      </c>
      <c r="AD111" s="242">
        <f t="shared" si="164"/>
        <v>0</v>
      </c>
      <c r="AE111" s="242">
        <f t="shared" si="164"/>
        <v>0</v>
      </c>
      <c r="AF111" s="241">
        <f t="shared" si="133"/>
        <v>192920.04561708</v>
      </c>
      <c r="AH111" s="242">
        <f>(((9075*(AH64*0.8))+((210*(AH64*0.85))+((80*(AH64*0.825))+(AH64*60)+(AH109*0.015)+(AH109*0.03)))))</f>
        <v>378751.02258599998</v>
      </c>
      <c r="AI111" s="242">
        <f t="shared" ref="AI111:AM111" si="165">(((9075*(AI64*0.8))+((210*(AI64*0.85))+((80*(AI64*0.825))+(AI64*60)+(AI109*0.015)+(AI109*0.03)))))</f>
        <v>15693.906150000003</v>
      </c>
      <c r="AJ111" s="242">
        <f>(((9075*(AJ64*0.8))+((210*(AJ64*0.85))+((80*(AJ64*0.825))+(AJ64*60)+(AJ109*0.015)+(AJ109*0.03)))))*0.7</f>
        <v>24248.069999999996</v>
      </c>
      <c r="AK111" s="242">
        <f t="shared" si="165"/>
        <v>0</v>
      </c>
      <c r="AL111" s="242">
        <f t="shared" si="165"/>
        <v>0</v>
      </c>
      <c r="AM111" s="242">
        <f t="shared" si="165"/>
        <v>0</v>
      </c>
      <c r="AN111" s="241">
        <f t="shared" si="134"/>
        <v>418692.99873599998</v>
      </c>
      <c r="AP111" s="242">
        <f>(((9075*(AP64*0.8))+((210*(AP64*0.85))+((80*(AP64*0.825))+(AP64*60)+(AP109*0.015)+(AP109*0.03)))))</f>
        <v>83028.299400000004</v>
      </c>
      <c r="AQ111" s="242">
        <f t="shared" ref="AQ111:AU111" si="166">(((9075*(AQ64*0.8))+((210*(AQ64*0.85))+((80*(AQ64*0.825))+(AQ64*60)+(AQ109*0.015)+(AQ109*0.03)))))</f>
        <v>11007.3375</v>
      </c>
      <c r="AR111" s="242">
        <f>(((9075*(AR64*0.8))+((210*(AR64*0.85))+((80*(AR64*0.825))+(AR64*60)+(AR109*0.015)+(AR109*0.03)))))*0.7</f>
        <v>6225.03</v>
      </c>
      <c r="AS111" s="242">
        <f t="shared" si="166"/>
        <v>0</v>
      </c>
      <c r="AT111" s="242">
        <f t="shared" si="166"/>
        <v>0</v>
      </c>
      <c r="AU111" s="242">
        <f t="shared" si="166"/>
        <v>0</v>
      </c>
      <c r="AV111" s="241">
        <f t="shared" si="135"/>
        <v>100260.6669</v>
      </c>
      <c r="AX111" s="242">
        <f>(((7600*(AX64*0.8))+((190*(AX64*0.85))+((70*(AX64*0.825))+(AX64*50)+(AX109*0.015)+(AX109*0.03)))))</f>
        <v>0</v>
      </c>
      <c r="AY111" s="242">
        <f>(((7600*(AY64*0.8))+((190*(AY64*0.85))+((70*(AY64*0.825))+(AY64*50)+(AY109*0.015)+(AY109*0.03)))))</f>
        <v>0</v>
      </c>
      <c r="AZ111" s="242">
        <f t="shared" ref="AZ111:BC111" si="167">(((7600*(AZ64*0.8))+((190*(AZ64*0.85))+((70*(AZ64*0.825))+(AZ64*50)+(AZ109*0.015)+(AZ109*0.03)))))</f>
        <v>0</v>
      </c>
      <c r="BA111" s="242">
        <f t="shared" si="167"/>
        <v>0</v>
      </c>
      <c r="BB111" s="242">
        <f t="shared" si="167"/>
        <v>0</v>
      </c>
      <c r="BC111" s="242">
        <f t="shared" si="167"/>
        <v>0</v>
      </c>
      <c r="BD111" s="241">
        <f t="shared" si="136"/>
        <v>0</v>
      </c>
      <c r="BF111" s="242">
        <f>BF109*0.18</f>
        <v>43600.094099999995</v>
      </c>
      <c r="BG111" s="242">
        <f t="shared" ref="BG111:BK111" si="168">BG109*0.175</f>
        <v>0</v>
      </c>
      <c r="BH111" s="242">
        <f>BH109*0.1</f>
        <v>2612.5</v>
      </c>
      <c r="BI111" s="242">
        <f t="shared" si="168"/>
        <v>0</v>
      </c>
      <c r="BJ111" s="242">
        <f t="shared" si="168"/>
        <v>0</v>
      </c>
      <c r="BK111" s="242">
        <f t="shared" si="168"/>
        <v>0</v>
      </c>
      <c r="BL111" s="241">
        <f t="shared" si="137"/>
        <v>46212.594099999995</v>
      </c>
      <c r="BN111" s="241">
        <f t="shared" ref="BN111:BN115" si="169">B111+J111+R111+Z111+AH111+AP111+AX111+BF111</f>
        <v>1388078.8330413599</v>
      </c>
      <c r="BO111" s="241">
        <f t="shared" si="159"/>
        <v>123776.4579255</v>
      </c>
      <c r="BP111" s="241">
        <f t="shared" si="159"/>
        <v>113294.66875</v>
      </c>
      <c r="BQ111" s="241">
        <f t="shared" si="159"/>
        <v>0</v>
      </c>
      <c r="BR111" s="241">
        <f t="shared" si="159"/>
        <v>0</v>
      </c>
      <c r="BS111" s="241">
        <f t="shared" si="159"/>
        <v>0</v>
      </c>
      <c r="BT111" s="241">
        <f t="shared" si="160"/>
        <v>1625149.95971686</v>
      </c>
    </row>
    <row r="112" spans="1:72" x14ac:dyDescent="0.25">
      <c r="A112" s="201" t="s">
        <v>245</v>
      </c>
      <c r="B112" s="242">
        <f>(2500*B39)+(2000*B40)+((1500*(B42+B44+B45))+((1250*(B46+B47+B53))+((1250*(B57+B58+B60))+((500*(B52+B51+B49+B48))))))+(1000*5)</f>
        <v>19750</v>
      </c>
      <c r="C112" s="242">
        <f>(2500*C39)+(2000*C40)+((1500*(C42+C44+C45))+((1250*(C46+C47+C53))+((1250*(C57+C58+C60))+((500*(C52+C51+C49+C48))))))</f>
        <v>0</v>
      </c>
      <c r="D112" s="242">
        <f>(2500*D39)+(2000*D40)+((1500*(D42+D44+D45))+((1250*(D46+D47+D53))+((1250*(D57+D58+D60))+((500*(D52+D51+D49+D48))))))</f>
        <v>1000</v>
      </c>
      <c r="E112" s="242">
        <f>(2500*E39)+(2000*E40)+((1500*(E42+E44+E45))+((1250*(E46+E47+E53))+((1250*(E57+E58+E60))+((500*(E52+E51+E49+E48))))))</f>
        <v>0</v>
      </c>
      <c r="F112" s="242">
        <f t="shared" ref="F112:G112" si="170">(2500*F39)+(2000*F40)+((1500*(F42+F44+F45))+((1250*(F46+F47+F53))+((1250*(F57+F58+F60))+((500*(F52+F51+F49+F48))))))</f>
        <v>0</v>
      </c>
      <c r="G112" s="242">
        <f t="shared" si="170"/>
        <v>0</v>
      </c>
      <c r="H112" s="241">
        <f t="shared" si="130"/>
        <v>20750</v>
      </c>
      <c r="J112" s="242">
        <f>(2500*J39)+(2000*J40)+((1500*(J42+J44+J45))+((1250*(J46+J47+J53))+((1250*(J57+J58+J60))+((500*(J52+J51+J49+J48))))))+(1000*20)</f>
        <v>66500</v>
      </c>
      <c r="K112" s="242">
        <f>(2500*K39)+(2000*K40)+((1500*(K42+K44+K45))+((1250*(K46+K47+K53))+((1250*(K57+K58+K60))+((500*(K52+K51+K49+K48))))))</f>
        <v>0</v>
      </c>
      <c r="L112" s="242">
        <f>(2500*L39)+(2000*L40)+((1500*(L42+L44+L45))+((1250*(L46+L47+L53))+((1250*(L57+L58+L60))+((500*(L52+L51+L49+L48))))))</f>
        <v>3000</v>
      </c>
      <c r="M112" s="242">
        <f>(2500*M39)+(2000*M40)+((1500*(M42+M44+M45))+((1250*(M46+M47+M53))+((1250*(M57+M58+M60))+((500*(M52+M51+M49+M48))))))</f>
        <v>0</v>
      </c>
      <c r="N112" s="242">
        <f t="shared" ref="N112:O112" si="171">(2500*N39)+(2000*N40)+((1500*(N42+N44+N45))+((1250*(N46+N47+N53))+((1250*(N57+N58+N60))+((500*(N52+N51+N49+N48))))))</f>
        <v>0</v>
      </c>
      <c r="O112" s="242">
        <f t="shared" si="171"/>
        <v>0</v>
      </c>
      <c r="P112" s="241">
        <f t="shared" si="131"/>
        <v>69500</v>
      </c>
      <c r="R112" s="242">
        <f>(2500*R39)+(2000*R40)+((1500*(R42+R44+R45))+((1250*(R46+R47+R53))+((1250*(R57+R58+R60))+((500*(R52+R51+R49+R48))))))+(1000*10)</f>
        <v>27375</v>
      </c>
      <c r="S112" s="242">
        <f>(2500*S39)+(2000*S40)+((1500*(S42+S44+S45))+((1250*(S46+S47+S53))+((1250*(S57+S58+S60))+((500*(S52+S51+S49+S48))))))</f>
        <v>0</v>
      </c>
      <c r="T112" s="242">
        <f>(2500*T39)+(2000*T40)+((1500*(T42+T44+T45))+((1250*(T46+T47+T53))+((1250*(T57+T58+T60))+((500*(T52+T51+T49+T48))))))</f>
        <v>1000</v>
      </c>
      <c r="U112" s="242">
        <f>(2500*U39)+(2000*U40)+((1500*(U42+U44+U45))+((1250*(U46+U47+U53))+((1250*(U57+U58+U60))+((500*(U52+U51+U49+U48))))))</f>
        <v>0</v>
      </c>
      <c r="V112" s="242">
        <f t="shared" ref="V112:W112" si="172">(2500*V39)+(2000*V40)+((1500*(V42+V44+V45))+((1250*(V46+V47+V53))+((1250*(V57+V58+V60))+((500*(V52+V51+V49+V48))))))</f>
        <v>0</v>
      </c>
      <c r="W112" s="242">
        <f t="shared" si="172"/>
        <v>0</v>
      </c>
      <c r="X112" s="241">
        <f t="shared" si="132"/>
        <v>28375</v>
      </c>
      <c r="Z112" s="242">
        <f>(2500*Z39)+(2000*Z40)+((1500*(Z42+Z44+Z45))+((1250*(Z46+Z47+Z53))+((1250*(Z57+Z58+Z60))+((500*(Z52+Z51+Z49+Z48))))))+(1000*18)</f>
        <v>31375</v>
      </c>
      <c r="AA112" s="242">
        <f>(2500*AA39)+(2000*AA40)+((1500*(AA42+AA44+AA45))+((1250*(AA46+AA47+AA53))+((1250*(AA57+AA58+AA60))+((500*(AA52+AA51+AA49+AA48))))))</f>
        <v>412.5</v>
      </c>
      <c r="AB112" s="242">
        <f>(2500*AB39)+(2000*AB40)+((1500*(AB42+AB44+AB45))+((1250*(AB46+AB47+AB53))+((1250*(AB57+AB58+AB60))+((500*(AB52+AB51+AB49+AB48))))))</f>
        <v>1000</v>
      </c>
      <c r="AC112" s="242">
        <f>(2500*AC39)+(2000*AC40)+((1500*(AC42+AC44+AC45))+((1250*(AC46+AC47+AC53))+((1250*(AC57+AC58+AC60))+((500*(AC52+AC51+AC49+AC48))))))</f>
        <v>0</v>
      </c>
      <c r="AD112" s="242">
        <f t="shared" ref="AD112:AE112" si="173">(2500*AD39)+(2000*AD40)+((1500*(AD42+AD44+AD45))+((1250*(AD46+AD47+AD53))+((1250*(AD57+AD58+AD60))+((500*(AD52+AD51+AD49+AD48))))))</f>
        <v>0</v>
      </c>
      <c r="AE112" s="242">
        <f t="shared" si="173"/>
        <v>0</v>
      </c>
      <c r="AF112" s="241">
        <f t="shared" si="133"/>
        <v>32787.5</v>
      </c>
      <c r="AH112" s="242">
        <f>(2500*AH39)+(2000*AH40)+((1500*(AH42+AH44+AH45))+((1250*(AH46+AH47+AH53))+((1250*(AH57+AH58+AH60))+((500*(AH52+AH51+AH49+AH48))))))+(1000*25)</f>
        <v>61750</v>
      </c>
      <c r="AI112" s="242">
        <f>(2500*AI39)+(2000*AI40)+((1500*(AI42+AI44+AI45))+((1250*(AI46+AI47+AI53))+((1250*(AI57+AI58+AI60))+((500*(AI52+AI51+AI49+AI48))))))</f>
        <v>625</v>
      </c>
      <c r="AJ112" s="242">
        <f>(2500*AJ39)+(2000*AJ40)+((1500*(AJ42+AJ44+AJ45))+((1250*(AJ46+AJ47+AJ53))+((1250*(AJ57+AJ58+AJ60))+((500*(AJ52+AJ51+AJ49+AJ48))))))</f>
        <v>2000</v>
      </c>
      <c r="AK112" s="242">
        <f>(2500*AK39)+(2000*AK40)+((1500*(AK42+AK44+AK45))+((1250*(AK46+AK47+AK53))+((1250*(AK57+AK58+AK60))+((500*(AK52+AK51+AK49+AK48))))))</f>
        <v>0</v>
      </c>
      <c r="AL112" s="242">
        <f t="shared" ref="AL112:AM112" si="174">(2500*AL39)+(2000*AL40)+((1500*(AL42+AL44+AL45))+((1250*(AL46+AL47+AL53))+((1250*(AL57+AL58+AL60))+((500*(AL52+AL51+AL49+AL48))))))</f>
        <v>0</v>
      </c>
      <c r="AM112" s="242">
        <f t="shared" si="174"/>
        <v>0</v>
      </c>
      <c r="AN112" s="241">
        <f t="shared" si="134"/>
        <v>64375</v>
      </c>
      <c r="AP112" s="242">
        <f>(2500*AP39)+(2000*AP40)+((1500*(AP42+AP44+AP45))+((1250*(AP46+AP47+AP53))+((1250*(AP57+AP58+AP60))+((500*(AP52+AP51+AP49+AP48))))))</f>
        <v>9000</v>
      </c>
      <c r="AQ112" s="242">
        <f>(2500*AQ39)+(2000*AQ40)+((1500*(AQ42+AQ44+AQ45))+((1250*(AQ46+AQ47+AQ53))+((1250*(AQ57+AQ58+AQ60))+((500*(AQ52+AQ51+AQ49+AQ48))))))</f>
        <v>0</v>
      </c>
      <c r="AR112" s="242">
        <f>(2500*AR39)+(2000*AR40)+((1500*(AR42+AR44+AR45))+((1250*(AR46+AR47+AR53))+((1250*(AR57+AR58+AR60))+((500*(AR52+AR51+AR49+AR48))))))</f>
        <v>500</v>
      </c>
      <c r="AS112" s="242">
        <f>(2500*AS39)+(2000*AS40)+((1500*(AS42+AS44+AS45))+((1250*(AS46+AS47+AS53))+((1250*(AS57+AS58+AS60))+((500*(AS52+AS51+AS49+AS48))))))</f>
        <v>0</v>
      </c>
      <c r="AT112" s="242">
        <f t="shared" ref="AT112:AU112" si="175">(2500*AT39)+(2000*AT40)+((1500*(AT42+AT44+AT45))+((1250*(AT46+AT47+AT53))+((1250*(AT57+AT58+AT60))+((500*(AT52+AT51+AT49+AT48))))))</f>
        <v>0</v>
      </c>
      <c r="AU112" s="242">
        <f t="shared" si="175"/>
        <v>0</v>
      </c>
      <c r="AV112" s="241">
        <f t="shared" si="135"/>
        <v>9500</v>
      </c>
      <c r="AX112" s="242">
        <f>(2500*AX39)+(2000*AX40)+((1500*(AX42+AX44+AX45))+((1250*(AX46+AX47+AX53))+((1250*(AX57+AX58+AX60))+((500*(AX52+AX51+AX49+AX48))))))</f>
        <v>0</v>
      </c>
      <c r="AY112" s="242">
        <f>(2500*AY39)+(2000*AY40)+((1500*(AY42+AY44+AY45))+((1250*(AY46+AY47+AY53))+((1250*(AY57+AY58+AY60))+((500*(AY52+AY51+AY49+AY48))))))</f>
        <v>0</v>
      </c>
      <c r="AZ112" s="242">
        <f>(2500*AZ39)+(2000*AZ40)+((1500*(AZ42+AZ44+AZ45))+((1250*(AZ46+AZ47+AZ53))+((1250*(AZ57+AZ58+AZ60))+((500*(AZ52+AZ51+AZ49+AZ48))))))</f>
        <v>0</v>
      </c>
      <c r="BA112" s="242">
        <f>(2500*BA39)+(2000*BA40)+((1500*(BA42+BA44+BA45))+((1250*(BA46+BA47+BA53))+((1250*(BA57+BA58+BA60))+((500*(BA52+BA51+BA49+BA48))))))</f>
        <v>0</v>
      </c>
      <c r="BB112" s="242">
        <f t="shared" ref="BB112:BC112" si="176">(2500*BB39)+(2000*BB40)+((1500*(BB42+BB44+BB45))+((1250*(BB46+BB47+BB53))+((1250*(BB57+BB58+BB60))+((500*(BB52+BB51+BB49+BB48))))))</f>
        <v>0</v>
      </c>
      <c r="BC112" s="242">
        <f t="shared" si="176"/>
        <v>0</v>
      </c>
      <c r="BD112" s="241">
        <f t="shared" si="136"/>
        <v>0</v>
      </c>
      <c r="BF112" s="242">
        <f>(2500*BF39)+(2000*BF40)+((1500*(BF42+BF44+BF45))+((1250*(BF46+BF47+BF53))+((1250*(BF57+BF58+BF60))+((500*(BF52+BF51+BF49+BF48))))))+(1000*1)</f>
        <v>4750</v>
      </c>
      <c r="BG112" s="242">
        <f>(2500*BG39)+(2000*BG40)+((1500*(BG42+BG44+BG45))+((1250*(BG46+BG47+BG53))+((1250*(BG57+BG58+BG60))+((500*(BG52+BG51+BG49+BG48))))))</f>
        <v>0</v>
      </c>
      <c r="BH112" s="242">
        <f>(2500*BH39)+(2000*BH40)+((1500*(BH42+BH44+BH45))+((1250*(BH46+BH47+BH53))+((1250*(BH57+BH58+BH60))+((500*(BH52+BH51+BH49+BH48))))))</f>
        <v>500</v>
      </c>
      <c r="BI112" s="242">
        <f>(2500*BI39)+(2000*BI40)+((1500*(BI42+BI44+BI45))+((1250*(BI46+BI47+BI53))+((1250*(BI57+BI58+BI60))+((500*(BI52+BI51+BI49+BI48))))))</f>
        <v>0</v>
      </c>
      <c r="BJ112" s="242">
        <f t="shared" ref="BJ112:BK112" si="177">(2500*BJ39)+(2000*BJ40)+((1500*(BJ42+BJ44+BJ45))+((1250*(BJ46+BJ47+BJ53))+((1250*(BJ57+BJ58+BJ60))+((500*(BJ52+BJ51+BJ49+BJ48))))))</f>
        <v>0</v>
      </c>
      <c r="BK112" s="242">
        <f t="shared" si="177"/>
        <v>0</v>
      </c>
      <c r="BL112" s="241">
        <f t="shared" si="137"/>
        <v>5250</v>
      </c>
      <c r="BN112" s="241">
        <f t="shared" si="169"/>
        <v>220500</v>
      </c>
      <c r="BO112" s="241">
        <f t="shared" si="159"/>
        <v>1037.5</v>
      </c>
      <c r="BP112" s="241">
        <f t="shared" si="159"/>
        <v>9000</v>
      </c>
      <c r="BQ112" s="241">
        <f t="shared" si="159"/>
        <v>0</v>
      </c>
      <c r="BR112" s="241">
        <f t="shared" si="159"/>
        <v>0</v>
      </c>
      <c r="BS112" s="241">
        <f t="shared" si="159"/>
        <v>0</v>
      </c>
      <c r="BT112" s="241">
        <f t="shared" si="160"/>
        <v>230537.5</v>
      </c>
    </row>
    <row r="113" spans="1:72" x14ac:dyDescent="0.25">
      <c r="A113" s="201" t="s">
        <v>246</v>
      </c>
      <c r="B113" s="242">
        <f>(500*B39)+(250*B40)+((175*(B42+B44+B45))+((175*(B46+B47+B53))+((175*(B57+B58+B60))+((75*(B52+B51+B49+B48))))))*1.09+(175*10)</f>
        <v>3981</v>
      </c>
      <c r="C113" s="242">
        <f>(500*C39)+(250*C40)+((175*(C42+C44+C45))+((175*(C46+C47+C53))+((175*(C57+C58+C60))+((75*(C52+C51+C49+C48))))))*1.09</f>
        <v>0</v>
      </c>
      <c r="D113" s="242">
        <f t="shared" ref="D113:G113" si="178">(500*D39)+(250*D40)+((175*(D42+D44+D45))+((175*(D46+D47+D53))+((175*(D57+D58+D60))+((75*(D52+D51+D49+D48))))))*1.09</f>
        <v>163.5</v>
      </c>
      <c r="E113" s="242">
        <f t="shared" si="178"/>
        <v>0</v>
      </c>
      <c r="F113" s="242">
        <f t="shared" si="178"/>
        <v>0</v>
      </c>
      <c r="G113" s="242">
        <f t="shared" si="178"/>
        <v>0</v>
      </c>
      <c r="H113" s="241">
        <f t="shared" si="130"/>
        <v>4144.5</v>
      </c>
      <c r="J113" s="242">
        <f>(500*J39)+(250*J40)+((175*(J42+J44+J45))+((175*(J46+J47+J53))+((175*(J57+J58+J60))+((75*(J52+J51+J49+J48))))))*1.09+(175*20)</f>
        <v>10078</v>
      </c>
      <c r="K113" s="242">
        <f>(500*K39)+(250*K40)+((175*(K42+K44+K45))+((175*(K46+K47+K53))+((175*(K57+K58+K60))+((75*(K52+K51+K49+K48))))))*1.09</f>
        <v>0</v>
      </c>
      <c r="L113" s="242">
        <f t="shared" ref="L113:O113" si="179">(500*L39)+(250*L40)+((175*(L42+L44+L45))+((175*(L46+L47+L53))+((175*(L57+L58+L60))+((75*(L52+L51+L49+L48))))))*1.09</f>
        <v>490.50000000000006</v>
      </c>
      <c r="M113" s="242">
        <f t="shared" si="179"/>
        <v>0</v>
      </c>
      <c r="N113" s="242">
        <f t="shared" si="179"/>
        <v>0</v>
      </c>
      <c r="O113" s="242">
        <f t="shared" si="179"/>
        <v>0</v>
      </c>
      <c r="P113" s="241">
        <f t="shared" si="131"/>
        <v>10568.5</v>
      </c>
      <c r="R113" s="242">
        <f>(500*R39)+(250*R40)+((175*(R42+R44+R45))+((175*(R46+R47+R53))+((175*(R57+R58+R60))+((75*(R52+R51+R49+R48))))))*1.09+(175*15)</f>
        <v>5223.875</v>
      </c>
      <c r="S113" s="242">
        <f>(500*S39)+(250*S40)+((175*(S42+S44+S45))+((175*(S46+S47+S53))+((175*(S57+S58+S60))+((75*(S52+S51+S49+S48))))))*1.09</f>
        <v>0</v>
      </c>
      <c r="T113" s="242">
        <f t="shared" ref="T113:W113" si="180">(500*T39)+(250*T40)+((175*(T42+T44+T45))+((175*(T46+T47+T53))+((175*(T57+T58+T60))+((75*(T52+T51+T49+T48))))))*1.09</f>
        <v>163.5</v>
      </c>
      <c r="U113" s="242">
        <f t="shared" si="180"/>
        <v>0</v>
      </c>
      <c r="V113" s="242">
        <f t="shared" si="180"/>
        <v>0</v>
      </c>
      <c r="W113" s="242">
        <f t="shared" si="180"/>
        <v>0</v>
      </c>
      <c r="X113" s="241">
        <f t="shared" si="132"/>
        <v>5387.375</v>
      </c>
      <c r="Z113" s="242">
        <f>(500*Z39)+(250*Z40)+((175*(Z42+Z44+Z45))+((175*(Z46+Z47+Z53))+((175*(Z57+Z58+Z60))+((75*(Z52+Z51+Z49+Z48))))))*1.09+(175*15)</f>
        <v>4701.375</v>
      </c>
      <c r="AA113" s="242">
        <f>(500*AA39)+(250*AA40)+((175*(AA42+AA44+AA45))+((175*(AA46+AA47+AA53))+((175*(AA57+AA58+AA60))+((75*(AA52+AA51+AA49+AA48))))))*1.09</f>
        <v>62.947500000000005</v>
      </c>
      <c r="AB113" s="242">
        <f t="shared" ref="AB113:AE113" si="181">(500*AB39)+(250*AB40)+((175*(AB42+AB44+AB45))+((175*(AB46+AB47+AB53))+((175*(AB57+AB58+AB60))+((75*(AB52+AB51+AB49+AB48))))))*1.09</f>
        <v>163.5</v>
      </c>
      <c r="AC113" s="242">
        <f t="shared" si="181"/>
        <v>0</v>
      </c>
      <c r="AD113" s="242">
        <f t="shared" si="181"/>
        <v>0</v>
      </c>
      <c r="AE113" s="242">
        <f t="shared" si="181"/>
        <v>0</v>
      </c>
      <c r="AF113" s="241">
        <f t="shared" si="133"/>
        <v>4927.8225000000002</v>
      </c>
      <c r="AH113" s="242">
        <f>(500*AH39)+(250*AH40)+((175*(AH42+AH44+AH45))+((175*(AH46+AH47+AH53))+((175*(AH57+AH58+AH60))+((75*(AH52+AH51+AH49+AH48))))))*1.09+(175*15)</f>
        <v>7940</v>
      </c>
      <c r="AI113" s="242">
        <f>(500*AI39)+(250*AI40)+((175*(AI42+AI44+AI45))+((175*(AI46+AI47+AI53))+((175*(AI57+AI58+AI60))+((75*(AI52+AI51+AI49+AI48))))))*1.09</f>
        <v>95.375</v>
      </c>
      <c r="AJ113" s="242">
        <f t="shared" ref="AJ113:AM113" si="182">(500*AJ39)+(250*AJ40)+((175*(AJ42+AJ44+AJ45))+((175*(AJ46+AJ47+AJ53))+((175*(AJ57+AJ58+AJ60))+((75*(AJ52+AJ51+AJ49+AJ48))))))*1.09</f>
        <v>327</v>
      </c>
      <c r="AK113" s="242">
        <f t="shared" si="182"/>
        <v>0</v>
      </c>
      <c r="AL113" s="242">
        <f t="shared" si="182"/>
        <v>0</v>
      </c>
      <c r="AM113" s="242">
        <f t="shared" si="182"/>
        <v>0</v>
      </c>
      <c r="AN113" s="241">
        <f t="shared" si="134"/>
        <v>8362.375</v>
      </c>
      <c r="AP113" s="242">
        <f>(500*AP39)+(250*AP40)+((175*(AP42+AP44+AP45))+((175*(AP46+AP47+AP53))+((175*(AP57+AP58+AP60))+((75*(AP52+AP51+AP49+AP48))))))*1.09+(175*10)</f>
        <v>3208.5</v>
      </c>
      <c r="AQ113" s="242">
        <f>(500*AQ39)+(250*AQ40)+((175*(AQ42+AQ44+AQ45))+((175*(AQ46+AQ47+AQ53))+((175*(AQ57+AQ58+AQ60))+((75*(AQ52+AQ51+AQ49+AQ48))))))*1.09</f>
        <v>0</v>
      </c>
      <c r="AR113" s="242">
        <f t="shared" ref="AR113:AU113" si="183">(500*AR39)+(250*AR40)+((175*(AR42+AR44+AR45))+((175*(AR46+AR47+AR53))+((175*(AR57+AR58+AR60))+((75*(AR52+AR51+AR49+AR48))))))*1.09</f>
        <v>81.75</v>
      </c>
      <c r="AS113" s="242">
        <f t="shared" si="183"/>
        <v>0</v>
      </c>
      <c r="AT113" s="242">
        <f t="shared" si="183"/>
        <v>0</v>
      </c>
      <c r="AU113" s="242">
        <f t="shared" si="183"/>
        <v>0</v>
      </c>
      <c r="AV113" s="241">
        <f t="shared" si="135"/>
        <v>3290.25</v>
      </c>
      <c r="AX113" s="242">
        <f>(500*AX39)+(250*AX40)+((175*(AX42+AX44+AX45))+((175*(AX46+AX47+AX53))+((175*(AX57+AX58+AX60))+((75*(AX52+AX51+AX49+AX48))))))*1.09</f>
        <v>0</v>
      </c>
      <c r="AY113" s="242">
        <f>(500*AY39)+(250*AY40)+((175*(AY42+AY44+AY45))+((175*(AY46+AY47+AY53))+((175*(AY57+AY58+AY60))+((75*(AY52+AY51+AY49+AY48))))))*1.09</f>
        <v>0</v>
      </c>
      <c r="AZ113" s="242">
        <f t="shared" ref="AZ113:BC113" si="184">(500*AZ39)+(250*AZ40)+((175*(AZ42+AZ44+AZ45))+((175*(AZ46+AZ47+AZ53))+((175*(AZ57+AZ58+AZ60))+((75*(AZ52+AZ51+AZ49+AZ48))))))*1.09</f>
        <v>0</v>
      </c>
      <c r="BA113" s="242">
        <f t="shared" si="184"/>
        <v>0</v>
      </c>
      <c r="BB113" s="242">
        <f t="shared" si="184"/>
        <v>0</v>
      </c>
      <c r="BC113" s="242">
        <f t="shared" si="184"/>
        <v>0</v>
      </c>
      <c r="BD113" s="241">
        <f t="shared" si="136"/>
        <v>0</v>
      </c>
      <c r="BF113" s="242">
        <f>(500*BF39)+(250*BF40)+((175*(BF42+BF44+BF45))+((175*(BF46+BF47+BF53))+((175*(BF57+BF58+BF60))+((75*(BF52+BF51+BF49+BF48))))))*1.09+(175*5)</f>
        <v>1397.5</v>
      </c>
      <c r="BG113" s="242">
        <f>(500*BG39)+(250*BG40)+((175*(BG42+BG44+BG45))+((175*(BG46+BG47+BG53))+((175*(BG57+BG58+BG60))+((75*(BG52+BG51+BG49+BG48))))))*1.09</f>
        <v>0</v>
      </c>
      <c r="BH113" s="242">
        <f t="shared" ref="BH113:BK113" si="185">(500*BH39)+(250*BH40)+((175*(BH42+BH44+BH45))+((175*(BH46+BH47+BH53))+((175*(BH57+BH58+BH60))+((75*(BH52+BH51+BH49+BH48))))))*1.09</f>
        <v>81.75</v>
      </c>
      <c r="BI113" s="242">
        <f t="shared" si="185"/>
        <v>0</v>
      </c>
      <c r="BJ113" s="242">
        <f t="shared" si="185"/>
        <v>0</v>
      </c>
      <c r="BK113" s="242">
        <f t="shared" si="185"/>
        <v>0</v>
      </c>
      <c r="BL113" s="241">
        <f t="shared" si="137"/>
        <v>1479.25</v>
      </c>
      <c r="BN113" s="241">
        <f t="shared" si="169"/>
        <v>36530.25</v>
      </c>
      <c r="BO113" s="241">
        <f t="shared" si="159"/>
        <v>158.32249999999999</v>
      </c>
      <c r="BP113" s="241">
        <f t="shared" si="159"/>
        <v>1471.5</v>
      </c>
      <c r="BQ113" s="241">
        <f t="shared" si="159"/>
        <v>0</v>
      </c>
      <c r="BR113" s="241">
        <f t="shared" si="159"/>
        <v>0</v>
      </c>
      <c r="BS113" s="241">
        <f t="shared" si="159"/>
        <v>0</v>
      </c>
      <c r="BT113" s="241">
        <f t="shared" si="160"/>
        <v>38160.072500000002</v>
      </c>
    </row>
    <row r="114" spans="1:72" x14ac:dyDescent="0.25">
      <c r="A114" s="201" t="s">
        <v>247</v>
      </c>
      <c r="B114" s="244"/>
      <c r="C114" s="244"/>
      <c r="D114" s="244"/>
      <c r="E114" s="244"/>
      <c r="F114" s="244"/>
      <c r="G114" s="244"/>
      <c r="H114" s="241">
        <f t="shared" si="130"/>
        <v>0</v>
      </c>
      <c r="J114" s="244"/>
      <c r="K114" s="244"/>
      <c r="L114" s="244"/>
      <c r="M114" s="244"/>
      <c r="N114" s="244"/>
      <c r="O114" s="244"/>
      <c r="P114" s="241">
        <f t="shared" si="131"/>
        <v>0</v>
      </c>
      <c r="R114" s="244"/>
      <c r="S114" s="244"/>
      <c r="T114" s="244"/>
      <c r="U114" s="244"/>
      <c r="V114" s="244"/>
      <c r="W114" s="244"/>
      <c r="X114" s="241">
        <f t="shared" si="132"/>
        <v>0</v>
      </c>
      <c r="Z114" s="244"/>
      <c r="AA114" s="244"/>
      <c r="AB114" s="244"/>
      <c r="AC114" s="244"/>
      <c r="AD114" s="244"/>
      <c r="AE114" s="244"/>
      <c r="AF114" s="241">
        <f t="shared" si="133"/>
        <v>0</v>
      </c>
      <c r="AH114" s="244">
        <v>2500</v>
      </c>
      <c r="AI114" s="244"/>
      <c r="AJ114" s="244"/>
      <c r="AK114" s="244"/>
      <c r="AL114" s="244"/>
      <c r="AM114" s="244"/>
      <c r="AN114" s="241">
        <f t="shared" si="134"/>
        <v>2500</v>
      </c>
      <c r="AP114" s="244">
        <v>2500</v>
      </c>
      <c r="AQ114" s="244"/>
      <c r="AR114" s="244"/>
      <c r="AS114" s="244"/>
      <c r="AT114" s="244"/>
      <c r="AU114" s="244"/>
      <c r="AV114" s="241">
        <f t="shared" si="135"/>
        <v>2500</v>
      </c>
      <c r="AX114" s="244"/>
      <c r="AY114" s="244"/>
      <c r="AZ114" s="244"/>
      <c r="BA114" s="244"/>
      <c r="BB114" s="244"/>
      <c r="BC114" s="244"/>
      <c r="BD114" s="241">
        <f t="shared" si="136"/>
        <v>0</v>
      </c>
      <c r="BF114" s="242">
        <v>10000</v>
      </c>
      <c r="BG114" s="242"/>
      <c r="BH114" s="242"/>
      <c r="BI114" s="242"/>
      <c r="BJ114" s="242"/>
      <c r="BK114" s="242"/>
      <c r="BL114" s="241">
        <f t="shared" si="137"/>
        <v>10000</v>
      </c>
      <c r="BN114" s="241">
        <f t="shared" si="169"/>
        <v>15000</v>
      </c>
      <c r="BO114" s="241">
        <f t="shared" si="159"/>
        <v>0</v>
      </c>
      <c r="BP114" s="241">
        <f t="shared" si="159"/>
        <v>0</v>
      </c>
      <c r="BQ114" s="241">
        <f t="shared" si="159"/>
        <v>0</v>
      </c>
      <c r="BR114" s="241">
        <f t="shared" si="159"/>
        <v>0</v>
      </c>
      <c r="BS114" s="241">
        <f t="shared" si="159"/>
        <v>0</v>
      </c>
      <c r="BT114" s="241">
        <f t="shared" si="160"/>
        <v>15000</v>
      </c>
    </row>
    <row r="115" spans="1:72" x14ac:dyDescent="0.25">
      <c r="A115" s="202" t="s">
        <v>248</v>
      </c>
      <c r="B115" s="245">
        <v>3000</v>
      </c>
      <c r="C115" s="245"/>
      <c r="D115" s="245"/>
      <c r="E115" s="245"/>
      <c r="F115" s="245"/>
      <c r="G115" s="245"/>
      <c r="H115" s="241">
        <f t="shared" si="130"/>
        <v>3000</v>
      </c>
      <c r="J115" s="245">
        <v>3000</v>
      </c>
      <c r="K115" s="245"/>
      <c r="L115" s="245"/>
      <c r="M115" s="245"/>
      <c r="N115" s="245"/>
      <c r="O115" s="245"/>
      <c r="P115" s="241">
        <f t="shared" si="131"/>
        <v>3000</v>
      </c>
      <c r="R115" s="245">
        <v>3000</v>
      </c>
      <c r="S115" s="245"/>
      <c r="T115" s="245"/>
      <c r="U115" s="245"/>
      <c r="V115" s="245"/>
      <c r="W115" s="245"/>
      <c r="X115" s="241">
        <f t="shared" si="132"/>
        <v>3000</v>
      </c>
      <c r="Z115" s="245">
        <v>3000</v>
      </c>
      <c r="AA115" s="245"/>
      <c r="AB115" s="245"/>
      <c r="AC115" s="245"/>
      <c r="AD115" s="245"/>
      <c r="AE115" s="245"/>
      <c r="AF115" s="241">
        <f t="shared" si="133"/>
        <v>3000</v>
      </c>
      <c r="AH115" s="245">
        <v>3000</v>
      </c>
      <c r="AI115" s="245"/>
      <c r="AJ115" s="245"/>
      <c r="AK115" s="245"/>
      <c r="AL115" s="245"/>
      <c r="AM115" s="245"/>
      <c r="AN115" s="241">
        <f t="shared" si="134"/>
        <v>3000</v>
      </c>
      <c r="AP115" s="245">
        <v>0</v>
      </c>
      <c r="AQ115" s="245"/>
      <c r="AR115" s="245"/>
      <c r="AS115" s="245"/>
      <c r="AT115" s="245"/>
      <c r="AU115" s="245"/>
      <c r="AV115" s="241">
        <f t="shared" si="135"/>
        <v>0</v>
      </c>
      <c r="AX115" s="245">
        <v>0</v>
      </c>
      <c r="AY115" s="245"/>
      <c r="AZ115" s="245"/>
      <c r="BA115" s="245"/>
      <c r="BB115" s="245"/>
      <c r="BC115" s="245"/>
      <c r="BD115" s="241">
        <f t="shared" si="136"/>
        <v>0</v>
      </c>
      <c r="BF115" s="282"/>
      <c r="BG115" s="282"/>
      <c r="BH115" s="282"/>
      <c r="BI115" s="282"/>
      <c r="BJ115" s="282"/>
      <c r="BK115" s="282"/>
      <c r="BL115" s="241">
        <f t="shared" si="137"/>
        <v>0</v>
      </c>
      <c r="BN115" s="241">
        <f t="shared" si="169"/>
        <v>15000</v>
      </c>
      <c r="BO115" s="241">
        <f t="shared" si="159"/>
        <v>0</v>
      </c>
      <c r="BP115" s="241">
        <f t="shared" si="159"/>
        <v>0</v>
      </c>
      <c r="BQ115" s="241">
        <f t="shared" si="159"/>
        <v>0</v>
      </c>
      <c r="BR115" s="241">
        <f t="shared" si="159"/>
        <v>0</v>
      </c>
      <c r="BS115" s="241">
        <f t="shared" si="159"/>
        <v>0</v>
      </c>
      <c r="BT115" s="241">
        <f t="shared" si="160"/>
        <v>15000</v>
      </c>
    </row>
    <row r="116" spans="1:72" x14ac:dyDescent="0.25">
      <c r="A116" s="207" t="s">
        <v>330</v>
      </c>
      <c r="B116" s="258">
        <f>SUM(B110:B115)</f>
        <v>443182.54732896003</v>
      </c>
      <c r="C116" s="258">
        <f t="shared" ref="C116:H116" si="186">SUM(C110:C115)</f>
        <v>81371.922812500008</v>
      </c>
      <c r="D116" s="258">
        <f t="shared" si="186"/>
        <v>33928</v>
      </c>
      <c r="E116" s="258">
        <f t="shared" si="186"/>
        <v>0</v>
      </c>
      <c r="F116" s="258">
        <f t="shared" si="186"/>
        <v>0</v>
      </c>
      <c r="G116" s="258">
        <f t="shared" si="186"/>
        <v>0</v>
      </c>
      <c r="H116" s="258">
        <f t="shared" si="186"/>
        <v>558482.47014146007</v>
      </c>
      <c r="J116" s="258">
        <f>SUM(J110:J115)</f>
        <v>1567854.8087050999</v>
      </c>
      <c r="K116" s="258">
        <f t="shared" ref="K116:P116" si="187">SUM(K110:K115)</f>
        <v>132786.16034</v>
      </c>
      <c r="L116" s="258">
        <f t="shared" si="187"/>
        <v>105374.66250000001</v>
      </c>
      <c r="M116" s="258">
        <f t="shared" si="187"/>
        <v>0</v>
      </c>
      <c r="N116" s="258">
        <f t="shared" si="187"/>
        <v>0</v>
      </c>
      <c r="O116" s="258">
        <f t="shared" si="187"/>
        <v>0</v>
      </c>
      <c r="P116" s="258">
        <f t="shared" si="187"/>
        <v>1806015.6315451001</v>
      </c>
      <c r="R116" s="258">
        <f>SUM(R110:R115)</f>
        <v>582548.31994217995</v>
      </c>
      <c r="S116" s="258">
        <f t="shared" ref="S116:X116" si="188">SUM(S110:S115)</f>
        <v>67575.291911749999</v>
      </c>
      <c r="T116" s="258">
        <f t="shared" si="188"/>
        <v>40835.09375</v>
      </c>
      <c r="U116" s="258">
        <f t="shared" si="188"/>
        <v>0</v>
      </c>
      <c r="V116" s="258">
        <f t="shared" si="188"/>
        <v>0</v>
      </c>
      <c r="W116" s="258">
        <f t="shared" si="188"/>
        <v>0</v>
      </c>
      <c r="X116" s="258">
        <f t="shared" si="188"/>
        <v>690958.70560392994</v>
      </c>
      <c r="Z116" s="258">
        <f>SUM(Z110:Z115)</f>
        <v>478065.88022148004</v>
      </c>
      <c r="AA116" s="258">
        <f t="shared" ref="AA116:AF116" si="189">SUM(AA110:AA115)</f>
        <v>101567.41563349999</v>
      </c>
      <c r="AB116" s="258">
        <f t="shared" si="189"/>
        <v>42757.899999999994</v>
      </c>
      <c r="AC116" s="258">
        <f t="shared" si="189"/>
        <v>0</v>
      </c>
      <c r="AD116" s="258">
        <f t="shared" si="189"/>
        <v>0</v>
      </c>
      <c r="AE116" s="258">
        <f t="shared" si="189"/>
        <v>0</v>
      </c>
      <c r="AF116" s="258">
        <f t="shared" si="189"/>
        <v>622391.19585498003</v>
      </c>
      <c r="AH116" s="258">
        <f>SUM(AH110:AH115)</f>
        <v>1283304.5176129998</v>
      </c>
      <c r="AI116" s="258">
        <f t="shared" ref="AI116:AN116" si="190">SUM(AI110:AI115)</f>
        <v>52882.091075000004</v>
      </c>
      <c r="AJ116" s="258">
        <f t="shared" si="190"/>
        <v>63336.01999999999</v>
      </c>
      <c r="AK116" s="258">
        <f t="shared" si="190"/>
        <v>0</v>
      </c>
      <c r="AL116" s="258">
        <f t="shared" si="190"/>
        <v>0</v>
      </c>
      <c r="AM116" s="258">
        <f t="shared" si="190"/>
        <v>0</v>
      </c>
      <c r="AN116" s="258">
        <f t="shared" si="190"/>
        <v>1399522.6286879997</v>
      </c>
      <c r="AP116" s="258">
        <f>SUM(AP110:AP115)</f>
        <v>286589.97769999999</v>
      </c>
      <c r="AQ116" s="258">
        <f t="shared" ref="AQ116:AV116" si="191">SUM(AQ110:AQ115)</f>
        <v>39888.918749999997</v>
      </c>
      <c r="AR116" s="258">
        <f t="shared" si="191"/>
        <v>17950.579999999998</v>
      </c>
      <c r="AS116" s="258">
        <f t="shared" si="191"/>
        <v>0</v>
      </c>
      <c r="AT116" s="258">
        <f t="shared" si="191"/>
        <v>0</v>
      </c>
      <c r="AU116" s="258">
        <f t="shared" si="191"/>
        <v>0</v>
      </c>
      <c r="AV116" s="258">
        <f t="shared" si="191"/>
        <v>344429.47644999996</v>
      </c>
      <c r="AX116" s="258">
        <f>SUM(AX110:AX115)</f>
        <v>0</v>
      </c>
      <c r="AY116" s="258">
        <f t="shared" ref="AY116:BD116" si="192">SUM(AY110:AY115)</f>
        <v>0</v>
      </c>
      <c r="AZ116" s="258">
        <f t="shared" si="192"/>
        <v>0</v>
      </c>
      <c r="BA116" s="258">
        <f t="shared" si="192"/>
        <v>0</v>
      </c>
      <c r="BB116" s="258">
        <f t="shared" si="192"/>
        <v>0</v>
      </c>
      <c r="BC116" s="258">
        <f t="shared" si="192"/>
        <v>0</v>
      </c>
      <c r="BD116" s="258">
        <f t="shared" si="192"/>
        <v>0</v>
      </c>
      <c r="BF116" s="258">
        <f>SUM(BF110:BF115)</f>
        <v>151186.6803375</v>
      </c>
      <c r="BG116" s="258">
        <f t="shared" ref="BG116:BL116" si="193">SUM(BG110:BG115)</f>
        <v>0</v>
      </c>
      <c r="BH116" s="258">
        <f t="shared" si="193"/>
        <v>13056.4375</v>
      </c>
      <c r="BI116" s="258">
        <f t="shared" si="193"/>
        <v>0</v>
      </c>
      <c r="BJ116" s="258">
        <f t="shared" si="193"/>
        <v>0</v>
      </c>
      <c r="BK116" s="258">
        <f t="shared" si="193"/>
        <v>0</v>
      </c>
      <c r="BL116" s="258">
        <f t="shared" si="193"/>
        <v>164243.1178375</v>
      </c>
      <c r="BN116" s="258">
        <f>SUM(BN110:BN115)</f>
        <v>4792732.7318482194</v>
      </c>
      <c r="BO116" s="258">
        <f t="shared" ref="BO116:BT116" si="194">SUM(BO110:BO115)</f>
        <v>476071.80052275001</v>
      </c>
      <c r="BP116" s="258">
        <f t="shared" si="194"/>
        <v>317238.69374999998</v>
      </c>
      <c r="BQ116" s="258">
        <f t="shared" si="194"/>
        <v>0</v>
      </c>
      <c r="BR116" s="258">
        <f t="shared" si="194"/>
        <v>0</v>
      </c>
      <c r="BS116" s="258">
        <f t="shared" si="194"/>
        <v>0</v>
      </c>
      <c r="BT116" s="258">
        <f t="shared" si="194"/>
        <v>5586043.2261209693</v>
      </c>
    </row>
    <row r="117" spans="1:72" x14ac:dyDescent="0.25">
      <c r="B117" s="259"/>
      <c r="C117" s="259"/>
      <c r="D117" s="259"/>
      <c r="E117" s="259"/>
      <c r="F117" s="259"/>
      <c r="G117" s="259"/>
      <c r="H117" s="259"/>
    </row>
    <row r="118" spans="1:72" x14ac:dyDescent="0.25">
      <c r="A118" s="208" t="s">
        <v>331</v>
      </c>
      <c r="B118" s="260" t="s">
        <v>309</v>
      </c>
      <c r="C118" s="260" t="s">
        <v>310</v>
      </c>
      <c r="D118" s="260" t="s">
        <v>311</v>
      </c>
      <c r="E118" s="260" t="str">
        <f>E91</f>
        <v>Other</v>
      </c>
      <c r="F118" s="260" t="s">
        <v>315</v>
      </c>
      <c r="G118" s="260" t="s">
        <v>314</v>
      </c>
      <c r="H118" s="261" t="str">
        <f>H91</f>
        <v>Horizon</v>
      </c>
      <c r="J118" s="260" t="s">
        <v>309</v>
      </c>
      <c r="K118" s="260" t="s">
        <v>310</v>
      </c>
      <c r="L118" s="260" t="s">
        <v>311</v>
      </c>
      <c r="M118" s="260" t="str">
        <f>M91</f>
        <v>Other</v>
      </c>
      <c r="N118" s="260" t="s">
        <v>315</v>
      </c>
      <c r="O118" s="260" t="s">
        <v>314</v>
      </c>
      <c r="P118" s="261" t="str">
        <f>P91</f>
        <v>Cadence</v>
      </c>
      <c r="R118" s="260" t="s">
        <v>309</v>
      </c>
      <c r="S118" s="260" t="s">
        <v>310</v>
      </c>
      <c r="T118" s="260" t="s">
        <v>311</v>
      </c>
      <c r="U118" s="260" t="str">
        <f>U91</f>
        <v>Other</v>
      </c>
      <c r="V118" s="260" t="s">
        <v>315</v>
      </c>
      <c r="W118" s="260" t="s">
        <v>314</v>
      </c>
      <c r="X118" s="261" t="str">
        <f>X91</f>
        <v>St. Rose</v>
      </c>
      <c r="Z118" s="260" t="s">
        <v>309</v>
      </c>
      <c r="AA118" s="260" t="s">
        <v>310</v>
      </c>
      <c r="AB118" s="260" t="s">
        <v>311</v>
      </c>
      <c r="AC118" s="260" t="str">
        <f>AC91</f>
        <v>Other</v>
      </c>
      <c r="AD118" s="260" t="s">
        <v>315</v>
      </c>
      <c r="AE118" s="260" t="s">
        <v>314</v>
      </c>
      <c r="AF118" s="261" t="str">
        <f>AF91</f>
        <v>Inspirada</v>
      </c>
      <c r="AH118" s="260" t="s">
        <v>309</v>
      </c>
      <c r="AI118" s="260" t="s">
        <v>310</v>
      </c>
      <c r="AJ118" s="260" t="s">
        <v>311</v>
      </c>
      <c r="AK118" s="260" t="str">
        <f>AK91</f>
        <v>Other</v>
      </c>
      <c r="AL118" s="260" t="s">
        <v>315</v>
      </c>
      <c r="AM118" s="260" t="s">
        <v>314</v>
      </c>
      <c r="AN118" s="261" t="str">
        <f>AN91</f>
        <v>Sloan</v>
      </c>
      <c r="AP118" s="260" t="s">
        <v>309</v>
      </c>
      <c r="AQ118" s="260" t="s">
        <v>310</v>
      </c>
      <c r="AR118" s="260" t="s">
        <v>311</v>
      </c>
      <c r="AS118" s="260" t="str">
        <f>AS91</f>
        <v>Other</v>
      </c>
      <c r="AT118" s="260" t="s">
        <v>315</v>
      </c>
      <c r="AU118" s="260" t="s">
        <v>314</v>
      </c>
      <c r="AV118" s="261" t="str">
        <f>AV91</f>
        <v>Springs</v>
      </c>
      <c r="AX118" s="260" t="s">
        <v>309</v>
      </c>
      <c r="AY118" s="260" t="s">
        <v>310</v>
      </c>
      <c r="AZ118" s="260" t="s">
        <v>311</v>
      </c>
      <c r="BA118" s="260" t="str">
        <f>BA91</f>
        <v>Other</v>
      </c>
      <c r="BB118" s="260" t="s">
        <v>315</v>
      </c>
      <c r="BC118" s="260" t="s">
        <v>314</v>
      </c>
      <c r="BD118" s="261" t="str">
        <f>BD91</f>
        <v>Virtual</v>
      </c>
      <c r="BF118" s="260" t="s">
        <v>309</v>
      </c>
      <c r="BG118" s="260" t="s">
        <v>310</v>
      </c>
      <c r="BH118" s="260" t="s">
        <v>311</v>
      </c>
      <c r="BI118" s="260" t="str">
        <f>BI91</f>
        <v>Other</v>
      </c>
      <c r="BJ118" s="260" t="s">
        <v>315</v>
      </c>
      <c r="BK118" s="260" t="s">
        <v>314</v>
      </c>
      <c r="BL118" s="261" t="str">
        <f>BL91</f>
        <v>Central</v>
      </c>
      <c r="BN118" s="260" t="s">
        <v>309</v>
      </c>
      <c r="BO118" s="260" t="s">
        <v>310</v>
      </c>
      <c r="BP118" s="260" t="s">
        <v>311</v>
      </c>
      <c r="BQ118" s="260" t="str">
        <f>BQ91</f>
        <v>Other</v>
      </c>
      <c r="BR118" s="260" t="s">
        <v>315</v>
      </c>
      <c r="BS118" s="260" t="s">
        <v>314</v>
      </c>
      <c r="BT118" s="261" t="str">
        <f>BT91</f>
        <v>System</v>
      </c>
    </row>
    <row r="119" spans="1:72" x14ac:dyDescent="0.25">
      <c r="A119" s="200" t="s">
        <v>249</v>
      </c>
      <c r="B119" s="257">
        <f>84915*1.01*1.01</f>
        <v>86621.791499999992</v>
      </c>
      <c r="C119" s="257"/>
      <c r="D119" s="257"/>
      <c r="E119" s="257"/>
      <c r="F119" s="257">
        <f>65000*1.01</f>
        <v>65650</v>
      </c>
      <c r="G119" s="257"/>
      <c r="H119" s="241">
        <f t="shared" ref="H119:H131" si="195">SUM(B119:G119)</f>
        <v>152271.79149999999</v>
      </c>
      <c r="J119" s="241">
        <f>(81000+75000+80000)*1.01*1.01</f>
        <v>240743.6</v>
      </c>
      <c r="K119" s="241"/>
      <c r="L119" s="257"/>
      <c r="M119" s="257"/>
      <c r="N119" s="257"/>
      <c r="O119" s="257"/>
      <c r="P119" s="241">
        <f t="shared" ref="P119:P131" si="196">SUM(J119:O119)</f>
        <v>240743.6</v>
      </c>
      <c r="R119" s="241">
        <f>77500*1.01*1.01</f>
        <v>79057.75</v>
      </c>
      <c r="S119" s="241"/>
      <c r="T119" s="257"/>
      <c r="U119" s="257"/>
      <c r="V119" s="257">
        <v>0</v>
      </c>
      <c r="W119" s="257"/>
      <c r="X119" s="241">
        <f t="shared" ref="X119:X131" si="197">SUM(R119:W119)</f>
        <v>79057.75</v>
      </c>
      <c r="Z119" s="241">
        <f>(75706+84460+88000)*1.01*1.01</f>
        <v>253154.1366</v>
      </c>
      <c r="AA119" s="241"/>
      <c r="AB119" s="257"/>
      <c r="AC119" s="257"/>
      <c r="AD119" s="257"/>
      <c r="AE119" s="257"/>
      <c r="AF119" s="241">
        <f t="shared" ref="AF119:AF131" si="198">SUM(Z119:AE119)</f>
        <v>253154.1366</v>
      </c>
      <c r="AH119" s="241">
        <f>(72000+74500)*1.01*1.01</f>
        <v>149444.65</v>
      </c>
      <c r="AI119" s="241"/>
      <c r="AJ119" s="257"/>
      <c r="AK119" s="257"/>
      <c r="AL119" s="257">
        <v>0</v>
      </c>
      <c r="AM119" s="257"/>
      <c r="AN119" s="241">
        <f t="shared" ref="AN119:AN131" si="199">SUM(AH119:AM119)</f>
        <v>149444.65</v>
      </c>
      <c r="AP119" s="241">
        <f>80000</f>
        <v>80000</v>
      </c>
      <c r="AQ119" s="241"/>
      <c r="AR119" s="257"/>
      <c r="AS119" s="257"/>
      <c r="AT119" s="257"/>
      <c r="AU119" s="257"/>
      <c r="AV119" s="241">
        <f t="shared" ref="AV119:AV131" si="200">SUM(AP119:AU119)</f>
        <v>80000</v>
      </c>
      <c r="AX119" s="241"/>
      <c r="AY119" s="241"/>
      <c r="AZ119" s="257"/>
      <c r="BA119" s="257"/>
      <c r="BB119" s="257"/>
      <c r="BC119" s="257"/>
      <c r="BD119" s="241">
        <f t="shared" ref="BD119:BD131" si="201">SUM(AX119:BC119)</f>
        <v>0</v>
      </c>
      <c r="BF119" s="257">
        <v>0</v>
      </c>
      <c r="BG119" s="257"/>
      <c r="BH119" s="257"/>
      <c r="BI119" s="257"/>
      <c r="BJ119" s="257">
        <f>(95000+1500+1000)*1.01*1.01</f>
        <v>99459.75</v>
      </c>
      <c r="BK119" s="257"/>
      <c r="BL119" s="241">
        <f t="shared" ref="BL119:BL131" si="202">SUM(BF119:BK119)</f>
        <v>99459.75</v>
      </c>
      <c r="BN119" s="241">
        <f>B119+J119+R119+Z119+AH119+AP119+AX119+BF119</f>
        <v>889021.92810000002</v>
      </c>
      <c r="BO119" s="241">
        <f t="shared" ref="BO119:BS124" si="203">C119+K119+S119+AA119+AI119+AQ119+AY119+BG119</f>
        <v>0</v>
      </c>
      <c r="BP119" s="241">
        <f t="shared" si="203"/>
        <v>0</v>
      </c>
      <c r="BQ119" s="241">
        <f t="shared" si="203"/>
        <v>0</v>
      </c>
      <c r="BR119" s="241">
        <f t="shared" si="203"/>
        <v>165109.75</v>
      </c>
      <c r="BS119" s="241">
        <f t="shared" si="203"/>
        <v>0</v>
      </c>
      <c r="BT119" s="241">
        <f t="shared" ref="BT119:BT120" si="204">SUM(BN119:BS119)</f>
        <v>1054131.6781000001</v>
      </c>
    </row>
    <row r="120" spans="1:72" x14ac:dyDescent="0.25">
      <c r="A120" s="201" t="s">
        <v>192</v>
      </c>
      <c r="B120" s="244"/>
      <c r="C120" s="244"/>
      <c r="D120" s="244"/>
      <c r="E120" s="244"/>
      <c r="F120" s="244"/>
      <c r="G120" s="244"/>
      <c r="H120" s="241">
        <f t="shared" si="195"/>
        <v>0</v>
      </c>
      <c r="J120" s="242">
        <f>75115*1.01*1.01</f>
        <v>76624.811499999996</v>
      </c>
      <c r="K120" s="242"/>
      <c r="L120" s="244"/>
      <c r="M120" s="244"/>
      <c r="N120" s="244"/>
      <c r="O120" s="244"/>
      <c r="P120" s="241">
        <f t="shared" si="196"/>
        <v>76624.811499999996</v>
      </c>
      <c r="R120" s="242"/>
      <c r="S120" s="242"/>
      <c r="T120" s="244"/>
      <c r="U120" s="244"/>
      <c r="V120" s="244"/>
      <c r="W120" s="244"/>
      <c r="X120" s="241">
        <f t="shared" si="197"/>
        <v>0</v>
      </c>
      <c r="Z120" s="242"/>
      <c r="AA120" s="242"/>
      <c r="AB120" s="244"/>
      <c r="AC120" s="244"/>
      <c r="AD120" s="244"/>
      <c r="AE120" s="244"/>
      <c r="AF120" s="241">
        <f t="shared" si="198"/>
        <v>0</v>
      </c>
      <c r="AH120" s="242"/>
      <c r="AI120" s="242"/>
      <c r="AJ120" s="244"/>
      <c r="AK120" s="244"/>
      <c r="AL120" s="244"/>
      <c r="AM120" s="244"/>
      <c r="AN120" s="241">
        <f t="shared" si="199"/>
        <v>0</v>
      </c>
      <c r="AP120" s="242">
        <f>75500*1.01*1.01</f>
        <v>77017.55</v>
      </c>
      <c r="AQ120" s="242"/>
      <c r="AR120" s="244"/>
      <c r="AS120" s="244"/>
      <c r="AT120" s="244"/>
      <c r="AU120" s="244"/>
      <c r="AV120" s="241">
        <f t="shared" si="200"/>
        <v>77017.55</v>
      </c>
      <c r="AX120" s="242">
        <f>95176*1.01*1.01</f>
        <v>97089.037599999996</v>
      </c>
      <c r="AY120" s="242"/>
      <c r="AZ120" s="244"/>
      <c r="BA120" s="244"/>
      <c r="BB120" s="244"/>
      <c r="BC120" s="244"/>
      <c r="BD120" s="241">
        <f t="shared" si="201"/>
        <v>97089.037599999996</v>
      </c>
      <c r="BF120" s="244"/>
      <c r="BG120" s="244"/>
      <c r="BH120" s="244"/>
      <c r="BI120" s="244"/>
      <c r="BJ120" s="244"/>
      <c r="BK120" s="244"/>
      <c r="BL120" s="241">
        <f t="shared" si="202"/>
        <v>0</v>
      </c>
      <c r="BN120" s="241">
        <f t="shared" ref="BN120:BN124" si="205">B120+J120+R120+Z120+AH120+AP120+AX120+BF120</f>
        <v>250731.39909999998</v>
      </c>
      <c r="BO120" s="241">
        <f t="shared" si="203"/>
        <v>0</v>
      </c>
      <c r="BP120" s="241">
        <f t="shared" si="203"/>
        <v>0</v>
      </c>
      <c r="BQ120" s="241">
        <f t="shared" si="203"/>
        <v>0</v>
      </c>
      <c r="BR120" s="241">
        <f t="shared" si="203"/>
        <v>0</v>
      </c>
      <c r="BS120" s="241">
        <f t="shared" si="203"/>
        <v>0</v>
      </c>
      <c r="BT120" s="241">
        <f t="shared" si="204"/>
        <v>250731.39909999998</v>
      </c>
    </row>
    <row r="121" spans="1:72" x14ac:dyDescent="0.25">
      <c r="A121" s="201" t="s">
        <v>250</v>
      </c>
      <c r="B121" s="242">
        <f>62350*B36+17500+2404</f>
        <v>2638604</v>
      </c>
      <c r="C121" s="244"/>
      <c r="D121" s="244"/>
      <c r="E121" s="244"/>
      <c r="F121" s="244"/>
      <c r="G121" s="244"/>
      <c r="H121" s="241">
        <f>SUM(B121:G121)</f>
        <v>2638604</v>
      </c>
      <c r="J121" s="242">
        <f>64800*J36+(1000*40)+20000</f>
        <v>6604800</v>
      </c>
      <c r="K121" s="242"/>
      <c r="L121" s="244"/>
      <c r="M121" s="244"/>
      <c r="N121" s="244"/>
      <c r="O121" s="244"/>
      <c r="P121" s="241">
        <f>SUM(J121:O121)</f>
        <v>6604800</v>
      </c>
      <c r="R121" s="242">
        <f>64450*R36+6218</f>
        <v>2842018</v>
      </c>
      <c r="S121" s="242"/>
      <c r="T121" s="244"/>
      <c r="U121" s="244"/>
      <c r="V121" s="244"/>
      <c r="W121" s="244"/>
      <c r="X121" s="241">
        <f>SUM(R121:W121)</f>
        <v>2842018</v>
      </c>
      <c r="Y121" s="71"/>
      <c r="Z121" s="242">
        <f>62300*Z36+7000+25000</f>
        <v>3520800</v>
      </c>
      <c r="AA121" s="242"/>
      <c r="AB121" s="244"/>
      <c r="AC121" s="244"/>
      <c r="AD121" s="244"/>
      <c r="AE121" s="244"/>
      <c r="AF121" s="241">
        <f>SUM(Z121:AE121)</f>
        <v>3520800</v>
      </c>
      <c r="AH121" s="242">
        <f>64550*AH36+(500*30)</f>
        <v>6663650</v>
      </c>
      <c r="AI121" s="242"/>
      <c r="AJ121" s="244"/>
      <c r="AK121" s="244"/>
      <c r="AL121" s="244"/>
      <c r="AM121" s="244"/>
      <c r="AN121" s="241">
        <f>SUM(AH121:AM121)</f>
        <v>6663650</v>
      </c>
      <c r="AP121" s="242">
        <f>59750*AP36</f>
        <v>2091250</v>
      </c>
      <c r="AQ121" s="242"/>
      <c r="AR121" s="244"/>
      <c r="AS121" s="244"/>
      <c r="AT121" s="244"/>
      <c r="AU121" s="244"/>
      <c r="AV121" s="241">
        <f>SUM(AP121:AU121)</f>
        <v>2091250</v>
      </c>
      <c r="AX121" s="242">
        <f>62000*AX36</f>
        <v>0</v>
      </c>
      <c r="AY121" s="242"/>
      <c r="AZ121" s="244"/>
      <c r="BA121" s="244"/>
      <c r="BB121" s="244"/>
      <c r="BC121" s="244"/>
      <c r="BD121" s="241">
        <f>SUM(AX121:BC121)</f>
        <v>0</v>
      </c>
      <c r="BF121" s="244">
        <f>(80500+1500)*1.01*1.01</f>
        <v>83648.2</v>
      </c>
      <c r="BG121" s="244"/>
      <c r="BH121" s="244"/>
      <c r="BI121" s="244"/>
      <c r="BJ121" s="244"/>
      <c r="BK121" s="244"/>
      <c r="BL121" s="241">
        <f>SUM(BF121:BK121)</f>
        <v>83648.2</v>
      </c>
      <c r="BN121" s="241">
        <f t="shared" si="205"/>
        <v>24444770.199999999</v>
      </c>
      <c r="BO121" s="241">
        <f t="shared" si="203"/>
        <v>0</v>
      </c>
      <c r="BP121" s="241">
        <f t="shared" si="203"/>
        <v>0</v>
      </c>
      <c r="BQ121" s="241">
        <f t="shared" si="203"/>
        <v>0</v>
      </c>
      <c r="BR121" s="241">
        <f t="shared" si="203"/>
        <v>0</v>
      </c>
      <c r="BS121" s="241">
        <f t="shared" si="203"/>
        <v>0</v>
      </c>
      <c r="BT121" s="241">
        <f>SUM(BN121:BS121)</f>
        <v>24444770.199999999</v>
      </c>
    </row>
    <row r="122" spans="1:72" x14ac:dyDescent="0.25">
      <c r="A122" s="201" t="s">
        <v>181</v>
      </c>
      <c r="B122" s="244"/>
      <c r="C122" s="244">
        <f>62350*C28</f>
        <v>311750</v>
      </c>
      <c r="D122" s="244"/>
      <c r="E122" s="244"/>
      <c r="F122" s="244"/>
      <c r="G122" s="244"/>
      <c r="H122" s="241">
        <f t="shared" si="195"/>
        <v>311750</v>
      </c>
      <c r="J122" s="242"/>
      <c r="K122" s="242">
        <f>64800*K36</f>
        <v>842400</v>
      </c>
      <c r="L122" s="244"/>
      <c r="M122" s="244"/>
      <c r="N122" s="244"/>
      <c r="O122" s="244"/>
      <c r="P122" s="241">
        <f t="shared" si="196"/>
        <v>842400</v>
      </c>
      <c r="R122" s="242"/>
      <c r="S122" s="242">
        <f>64450*S36</f>
        <v>257800</v>
      </c>
      <c r="T122" s="244"/>
      <c r="U122" s="244"/>
      <c r="V122" s="244"/>
      <c r="W122" s="244"/>
      <c r="X122" s="241">
        <f t="shared" si="197"/>
        <v>257800</v>
      </c>
      <c r="Y122" s="71"/>
      <c r="Z122" s="242"/>
      <c r="AA122" s="242">
        <f>62300*AA36</f>
        <v>311500</v>
      </c>
      <c r="AB122" s="244"/>
      <c r="AC122" s="244"/>
      <c r="AD122" s="244"/>
      <c r="AE122" s="244"/>
      <c r="AF122" s="241">
        <f t="shared" si="198"/>
        <v>311500</v>
      </c>
      <c r="AH122" s="242"/>
      <c r="AI122" s="242">
        <f>64550*AI36</f>
        <v>839150</v>
      </c>
      <c r="AJ122" s="244"/>
      <c r="AK122" s="244"/>
      <c r="AL122" s="244"/>
      <c r="AM122" s="244"/>
      <c r="AN122" s="241">
        <f t="shared" si="199"/>
        <v>839150</v>
      </c>
      <c r="AP122" s="242"/>
      <c r="AQ122" s="242">
        <f>65700*AQ36</f>
        <v>229950</v>
      </c>
      <c r="AR122" s="244"/>
      <c r="AS122" s="244"/>
      <c r="AT122" s="244"/>
      <c r="AU122" s="244"/>
      <c r="AV122" s="241">
        <f t="shared" si="200"/>
        <v>229950</v>
      </c>
      <c r="AX122" s="242"/>
      <c r="AY122" s="242">
        <f>83000*1.01*1.01</f>
        <v>84668.3</v>
      </c>
      <c r="AZ122" s="244"/>
      <c r="BA122" s="244"/>
      <c r="BB122" s="244"/>
      <c r="BC122" s="244"/>
      <c r="BD122" s="241">
        <f t="shared" si="201"/>
        <v>84668.3</v>
      </c>
      <c r="BF122" s="244"/>
      <c r="BG122" s="244"/>
      <c r="BH122" s="244"/>
      <c r="BI122" s="244"/>
      <c r="BJ122" s="244"/>
      <c r="BK122" s="244"/>
      <c r="BL122" s="241">
        <f t="shared" si="202"/>
        <v>0</v>
      </c>
      <c r="BN122" s="241">
        <f t="shared" si="205"/>
        <v>0</v>
      </c>
      <c r="BO122" s="241">
        <f t="shared" si="203"/>
        <v>2877218.3</v>
      </c>
      <c r="BP122" s="241">
        <f t="shared" si="203"/>
        <v>0</v>
      </c>
      <c r="BQ122" s="241">
        <f t="shared" si="203"/>
        <v>0</v>
      </c>
      <c r="BR122" s="241">
        <f t="shared" si="203"/>
        <v>0</v>
      </c>
      <c r="BS122" s="241">
        <f t="shared" si="203"/>
        <v>0</v>
      </c>
      <c r="BT122" s="241">
        <f t="shared" ref="BT122" si="206">SUM(BN122:BS122)</f>
        <v>2877218.3</v>
      </c>
    </row>
    <row r="123" spans="1:72" x14ac:dyDescent="0.25">
      <c r="A123" s="201" t="s">
        <v>251</v>
      </c>
      <c r="B123" s="244">
        <f>(21.5*7.55*180)*B50</f>
        <v>116873.99999999999</v>
      </c>
      <c r="C123" s="244">
        <f>(21.5*8*180)*C50</f>
        <v>123840</v>
      </c>
      <c r="D123" s="244"/>
      <c r="E123" s="244">
        <f>(20.25*8*180)*E50</f>
        <v>0</v>
      </c>
      <c r="F123" s="244">
        <f>(20.75*8*180)*F50</f>
        <v>0</v>
      </c>
      <c r="G123" s="244">
        <f>(20.25*8*180)*G50</f>
        <v>0</v>
      </c>
      <c r="H123" s="241">
        <f>SUM(B123:G123)</f>
        <v>240714</v>
      </c>
      <c r="J123" s="242">
        <f>(21.25*8*180)*J50</f>
        <v>306000</v>
      </c>
      <c r="K123" s="242">
        <f>(21.25*8*180)*K50</f>
        <v>367200</v>
      </c>
      <c r="L123" s="244"/>
      <c r="M123" s="244"/>
      <c r="N123" s="244"/>
      <c r="O123" s="244">
        <f>(20.25*8*180)*O50</f>
        <v>0</v>
      </c>
      <c r="P123" s="241">
        <f>SUM(J123:O123)</f>
        <v>673200</v>
      </c>
      <c r="R123" s="242">
        <f>(21.5*7.5*180)*R50</f>
        <v>174150</v>
      </c>
      <c r="S123" s="242">
        <f>(21.5*7.5*180)*S50</f>
        <v>116100</v>
      </c>
      <c r="T123" s="244"/>
      <c r="U123" s="244"/>
      <c r="V123" s="244"/>
      <c r="W123" s="244">
        <f>(20.25*8*180)*W50</f>
        <v>0</v>
      </c>
      <c r="X123" s="241">
        <f>SUM(R123:W123)</f>
        <v>290250</v>
      </c>
      <c r="Z123" s="242">
        <f>(20.5*8*180)*Z50</f>
        <v>147600</v>
      </c>
      <c r="AA123" s="242">
        <f>(20.5*8*180)*AA50</f>
        <v>147600</v>
      </c>
      <c r="AB123" s="244"/>
      <c r="AC123" s="244"/>
      <c r="AD123" s="244"/>
      <c r="AE123" s="244">
        <f>(20.25*8*180)*AE50</f>
        <v>0</v>
      </c>
      <c r="AF123" s="241">
        <f>SUM(Z123:AE123)</f>
        <v>295200</v>
      </c>
      <c r="AH123" s="242">
        <f>(21.5*8*180)*AH50</f>
        <v>154800</v>
      </c>
      <c r="AI123" s="242">
        <f>(21.5*8*180)*AI50</f>
        <v>371520</v>
      </c>
      <c r="AJ123" s="244"/>
      <c r="AK123" s="244"/>
      <c r="AL123" s="244"/>
      <c r="AM123" s="244">
        <f>(20.25*8*180)*AM50</f>
        <v>0</v>
      </c>
      <c r="AN123" s="241">
        <f>SUM(AH123:AM123)</f>
        <v>526320</v>
      </c>
      <c r="AP123" s="242">
        <f>(21.5*8*180)*AP50</f>
        <v>0</v>
      </c>
      <c r="AQ123" s="242">
        <f>(20.5*8*180)*AQ50</f>
        <v>88560</v>
      </c>
      <c r="AR123" s="244"/>
      <c r="AS123" s="244"/>
      <c r="AT123" s="244">
        <f>(37918+24973+40000+40000)*1.01</f>
        <v>144319.91</v>
      </c>
      <c r="AU123" s="244">
        <f>(20.25*8*180)*AU50</f>
        <v>0</v>
      </c>
      <c r="AV123" s="241">
        <f>SUM(AP123:AU123)</f>
        <v>232879.91</v>
      </c>
      <c r="AX123" s="242">
        <f>(21.5*7.5*180)*AX50+500</f>
        <v>87575</v>
      </c>
      <c r="AY123" s="242">
        <f>(21.5*7.5*180)*AY50+500</f>
        <v>29525</v>
      </c>
      <c r="AZ123" s="244"/>
      <c r="BA123" s="244"/>
      <c r="BB123" s="244">
        <f>21189*1.01*1.01</f>
        <v>21614.8989</v>
      </c>
      <c r="BC123" s="244">
        <f>(20.25*8*180)*BC50</f>
        <v>0</v>
      </c>
      <c r="BD123" s="241">
        <f>SUM(AX123:BC123)</f>
        <v>138714.8989</v>
      </c>
      <c r="BF123" s="244"/>
      <c r="BG123" s="244"/>
      <c r="BH123" s="244"/>
      <c r="BI123" s="244"/>
      <c r="BJ123" s="244"/>
      <c r="BK123" s="244">
        <f>(20.25*8*180)*BK50</f>
        <v>0</v>
      </c>
      <c r="BL123" s="241">
        <f>SUM(BF123:BK123)</f>
        <v>0</v>
      </c>
      <c r="BN123" s="241">
        <f t="shared" si="205"/>
        <v>986999</v>
      </c>
      <c r="BO123" s="241">
        <f t="shared" si="203"/>
        <v>1244345</v>
      </c>
      <c r="BP123" s="241">
        <f t="shared" si="203"/>
        <v>0</v>
      </c>
      <c r="BQ123" s="241">
        <f t="shared" si="203"/>
        <v>0</v>
      </c>
      <c r="BR123" s="241">
        <f t="shared" si="203"/>
        <v>165934.8089</v>
      </c>
      <c r="BS123" s="241">
        <f t="shared" si="203"/>
        <v>0</v>
      </c>
      <c r="BT123" s="241">
        <f>SUM(BN123:BS123)</f>
        <v>2397278.8089000001</v>
      </c>
    </row>
    <row r="124" spans="1:72" x14ac:dyDescent="0.25">
      <c r="A124" s="202" t="s">
        <v>209</v>
      </c>
      <c r="B124" s="245">
        <f>185*180*B59</f>
        <v>33300</v>
      </c>
      <c r="C124" s="245"/>
      <c r="D124" s="245"/>
      <c r="E124" s="245"/>
      <c r="F124" s="245"/>
      <c r="G124" s="245"/>
      <c r="H124" s="262">
        <f>SUM(B124:G124)</f>
        <v>33300</v>
      </c>
      <c r="J124" s="245">
        <f>185*180*J59</f>
        <v>99900</v>
      </c>
      <c r="K124" s="245"/>
      <c r="L124" s="245"/>
      <c r="M124" s="245"/>
      <c r="N124" s="245"/>
      <c r="O124" s="245"/>
      <c r="P124" s="262">
        <f>SUM(J124:O124)</f>
        <v>99900</v>
      </c>
      <c r="R124" s="245">
        <f>185*180*R59</f>
        <v>33300</v>
      </c>
      <c r="S124" s="245"/>
      <c r="T124" s="245"/>
      <c r="U124" s="245"/>
      <c r="V124" s="245"/>
      <c r="W124" s="245"/>
      <c r="X124" s="262">
        <f>SUM(R124:W124)</f>
        <v>33300</v>
      </c>
      <c r="Z124" s="245">
        <f>185*180*Z59</f>
        <v>66600</v>
      </c>
      <c r="AA124" s="245"/>
      <c r="AB124" s="245"/>
      <c r="AC124" s="245"/>
      <c r="AD124" s="245"/>
      <c r="AE124" s="245"/>
      <c r="AF124" s="262">
        <f>SUM(Z124:AE124)</f>
        <v>66600</v>
      </c>
      <c r="AH124" s="245">
        <f>185*180*AH59</f>
        <v>133200</v>
      </c>
      <c r="AI124" s="245"/>
      <c r="AJ124" s="245"/>
      <c r="AK124" s="245"/>
      <c r="AL124" s="245"/>
      <c r="AM124" s="245"/>
      <c r="AN124" s="262">
        <f>SUM(AH124:AM124)</f>
        <v>133200</v>
      </c>
      <c r="AP124" s="245">
        <f>175*180*AP59</f>
        <v>0</v>
      </c>
      <c r="AQ124" s="245"/>
      <c r="AR124" s="245"/>
      <c r="AS124" s="245"/>
      <c r="AT124" s="245"/>
      <c r="AU124" s="245"/>
      <c r="AV124" s="262">
        <f>SUM(AP124:AU124)</f>
        <v>0</v>
      </c>
      <c r="AX124" s="245">
        <f>175*180*AX59</f>
        <v>0</v>
      </c>
      <c r="AY124" s="245"/>
      <c r="AZ124" s="245"/>
      <c r="BA124" s="245"/>
      <c r="BB124" s="245"/>
      <c r="BC124" s="245"/>
      <c r="BD124" s="262">
        <f>SUM(AX124:BC124)</f>
        <v>0</v>
      </c>
      <c r="BF124" s="245"/>
      <c r="BG124" s="245"/>
      <c r="BH124" s="245"/>
      <c r="BI124" s="245"/>
      <c r="BJ124" s="245"/>
      <c r="BK124" s="245"/>
      <c r="BL124" s="262">
        <f>SUM(BF124:BK124)</f>
        <v>0</v>
      </c>
      <c r="BN124" s="241">
        <f t="shared" si="205"/>
        <v>366300</v>
      </c>
      <c r="BO124" s="241">
        <f t="shared" si="203"/>
        <v>0</v>
      </c>
      <c r="BP124" s="241">
        <f t="shared" si="203"/>
        <v>0</v>
      </c>
      <c r="BQ124" s="241">
        <f t="shared" si="203"/>
        <v>0</v>
      </c>
      <c r="BR124" s="241">
        <f t="shared" si="203"/>
        <v>0</v>
      </c>
      <c r="BS124" s="241">
        <f t="shared" si="203"/>
        <v>0</v>
      </c>
      <c r="BT124" s="262">
        <f>SUM(BN124:BS124)</f>
        <v>366300</v>
      </c>
    </row>
    <row r="125" spans="1:72" x14ac:dyDescent="0.25">
      <c r="A125" s="207" t="s">
        <v>332</v>
      </c>
      <c r="B125" s="258">
        <f t="shared" ref="B125:H125" si="207">SUM(B119:B124)</f>
        <v>2875399.7914999998</v>
      </c>
      <c r="C125" s="258">
        <f t="shared" si="207"/>
        <v>435590</v>
      </c>
      <c r="D125" s="258">
        <f t="shared" si="207"/>
        <v>0</v>
      </c>
      <c r="E125" s="258">
        <f t="shared" si="207"/>
        <v>0</v>
      </c>
      <c r="F125" s="258">
        <f t="shared" si="207"/>
        <v>65650</v>
      </c>
      <c r="G125" s="258">
        <f t="shared" si="207"/>
        <v>0</v>
      </c>
      <c r="H125" s="258">
        <f t="shared" si="207"/>
        <v>3376639.7914999998</v>
      </c>
      <c r="J125" s="258">
        <f t="shared" ref="J125:P125" si="208">SUM(J119:J124)</f>
        <v>7328068.4115000004</v>
      </c>
      <c r="K125" s="258">
        <f t="shared" si="208"/>
        <v>1209600</v>
      </c>
      <c r="L125" s="258">
        <f t="shared" si="208"/>
        <v>0</v>
      </c>
      <c r="M125" s="258">
        <f t="shared" si="208"/>
        <v>0</v>
      </c>
      <c r="N125" s="258">
        <f t="shared" si="208"/>
        <v>0</v>
      </c>
      <c r="O125" s="258">
        <f t="shared" si="208"/>
        <v>0</v>
      </c>
      <c r="P125" s="258">
        <f t="shared" si="208"/>
        <v>8537668.4114999995</v>
      </c>
      <c r="R125" s="258">
        <f t="shared" ref="R125:X125" si="209">SUM(R119:R124)</f>
        <v>3128525.75</v>
      </c>
      <c r="S125" s="258">
        <f t="shared" si="209"/>
        <v>373900</v>
      </c>
      <c r="T125" s="258">
        <f t="shared" si="209"/>
        <v>0</v>
      </c>
      <c r="U125" s="258">
        <f t="shared" si="209"/>
        <v>0</v>
      </c>
      <c r="V125" s="258">
        <f t="shared" si="209"/>
        <v>0</v>
      </c>
      <c r="W125" s="258">
        <f t="shared" si="209"/>
        <v>0</v>
      </c>
      <c r="X125" s="258">
        <f t="shared" si="209"/>
        <v>3502425.75</v>
      </c>
      <c r="Z125" s="258">
        <f t="shared" ref="Z125:AF125" si="210">SUM(Z119:Z124)</f>
        <v>3988154.1365999999</v>
      </c>
      <c r="AA125" s="258">
        <f t="shared" si="210"/>
        <v>459100</v>
      </c>
      <c r="AB125" s="258">
        <f t="shared" si="210"/>
        <v>0</v>
      </c>
      <c r="AC125" s="258">
        <f t="shared" si="210"/>
        <v>0</v>
      </c>
      <c r="AD125" s="258">
        <f t="shared" si="210"/>
        <v>0</v>
      </c>
      <c r="AE125" s="258">
        <f t="shared" si="210"/>
        <v>0</v>
      </c>
      <c r="AF125" s="258">
        <f t="shared" si="210"/>
        <v>4447254.1365999999</v>
      </c>
      <c r="AH125" s="258">
        <f t="shared" ref="AH125:AN125" si="211">SUM(AH119:AH124)</f>
        <v>7101094.6500000004</v>
      </c>
      <c r="AI125" s="258">
        <f t="shared" si="211"/>
        <v>1210670</v>
      </c>
      <c r="AJ125" s="258">
        <f t="shared" si="211"/>
        <v>0</v>
      </c>
      <c r="AK125" s="258">
        <f t="shared" si="211"/>
        <v>0</v>
      </c>
      <c r="AL125" s="258">
        <f t="shared" si="211"/>
        <v>0</v>
      </c>
      <c r="AM125" s="258">
        <f t="shared" si="211"/>
        <v>0</v>
      </c>
      <c r="AN125" s="258">
        <f t="shared" si="211"/>
        <v>8311764.6500000004</v>
      </c>
      <c r="AP125" s="258">
        <f t="shared" ref="AP125:AV125" si="212">SUM(AP119:AP124)</f>
        <v>2248267.5499999998</v>
      </c>
      <c r="AQ125" s="258">
        <f t="shared" si="212"/>
        <v>318510</v>
      </c>
      <c r="AR125" s="258">
        <f t="shared" si="212"/>
        <v>0</v>
      </c>
      <c r="AS125" s="258">
        <f t="shared" si="212"/>
        <v>0</v>
      </c>
      <c r="AT125" s="258">
        <f t="shared" si="212"/>
        <v>144319.91</v>
      </c>
      <c r="AU125" s="258">
        <f t="shared" si="212"/>
        <v>0</v>
      </c>
      <c r="AV125" s="258">
        <f t="shared" si="212"/>
        <v>2711097.46</v>
      </c>
      <c r="AX125" s="258">
        <f t="shared" ref="AX125:BD125" si="213">SUM(AX119:AX124)</f>
        <v>184664.03759999998</v>
      </c>
      <c r="AY125" s="258">
        <f t="shared" si="213"/>
        <v>114193.3</v>
      </c>
      <c r="AZ125" s="258">
        <f t="shared" si="213"/>
        <v>0</v>
      </c>
      <c r="BA125" s="258">
        <f t="shared" si="213"/>
        <v>0</v>
      </c>
      <c r="BB125" s="258">
        <f t="shared" si="213"/>
        <v>21614.8989</v>
      </c>
      <c r="BC125" s="258">
        <f t="shared" si="213"/>
        <v>0</v>
      </c>
      <c r="BD125" s="258">
        <f t="shared" si="213"/>
        <v>320472.2365</v>
      </c>
      <c r="BF125" s="258">
        <f t="shared" ref="BF125:BL125" si="214">SUM(BF119:BF124)</f>
        <v>83648.2</v>
      </c>
      <c r="BG125" s="258">
        <f t="shared" si="214"/>
        <v>0</v>
      </c>
      <c r="BH125" s="258">
        <f t="shared" si="214"/>
        <v>0</v>
      </c>
      <c r="BI125" s="258">
        <f t="shared" si="214"/>
        <v>0</v>
      </c>
      <c r="BJ125" s="258">
        <f t="shared" si="214"/>
        <v>99459.75</v>
      </c>
      <c r="BK125" s="258">
        <f t="shared" si="214"/>
        <v>0</v>
      </c>
      <c r="BL125" s="258">
        <f t="shared" si="214"/>
        <v>183107.95</v>
      </c>
      <c r="BN125" s="258">
        <f t="shared" ref="BN125:BT125" si="215">SUM(BN119:BN124)</f>
        <v>26937822.527199998</v>
      </c>
      <c r="BO125" s="258">
        <f t="shared" si="215"/>
        <v>4121563.3</v>
      </c>
      <c r="BP125" s="258">
        <f t="shared" si="215"/>
        <v>0</v>
      </c>
      <c r="BQ125" s="258">
        <f t="shared" si="215"/>
        <v>0</v>
      </c>
      <c r="BR125" s="258">
        <f t="shared" si="215"/>
        <v>331044.5589</v>
      </c>
      <c r="BS125" s="258">
        <f t="shared" si="215"/>
        <v>0</v>
      </c>
      <c r="BT125" s="258">
        <f t="shared" si="215"/>
        <v>31390430.386099998</v>
      </c>
    </row>
    <row r="126" spans="1:72" x14ac:dyDescent="0.25">
      <c r="A126" s="200" t="s">
        <v>368</v>
      </c>
      <c r="B126" s="257">
        <f>B125*0.3775</f>
        <v>1085463.42129125</v>
      </c>
      <c r="C126" s="257">
        <f t="shared" ref="C126:G126" si="216">C125*0.3775</f>
        <v>164435.22500000001</v>
      </c>
      <c r="D126" s="257">
        <f t="shared" si="216"/>
        <v>0</v>
      </c>
      <c r="E126" s="257">
        <f t="shared" si="216"/>
        <v>0</v>
      </c>
      <c r="F126" s="257">
        <f t="shared" si="216"/>
        <v>24782.875</v>
      </c>
      <c r="G126" s="257">
        <f t="shared" si="216"/>
        <v>0</v>
      </c>
      <c r="H126" s="241">
        <f t="shared" si="195"/>
        <v>1274681.5212912501</v>
      </c>
      <c r="J126" s="257">
        <f>J125*0.3775</f>
        <v>2766345.8253412503</v>
      </c>
      <c r="K126" s="257">
        <f t="shared" ref="K126:O126" si="217">K125*0.3775</f>
        <v>456624</v>
      </c>
      <c r="L126" s="257">
        <f t="shared" si="217"/>
        <v>0</v>
      </c>
      <c r="M126" s="257">
        <f t="shared" si="217"/>
        <v>0</v>
      </c>
      <c r="N126" s="257">
        <f t="shared" si="217"/>
        <v>0</v>
      </c>
      <c r="O126" s="257">
        <f t="shared" si="217"/>
        <v>0</v>
      </c>
      <c r="P126" s="241">
        <f t="shared" si="196"/>
        <v>3222969.8253412503</v>
      </c>
      <c r="R126" s="257">
        <f>R125*0.3775</f>
        <v>1181018.4706250001</v>
      </c>
      <c r="S126" s="257">
        <f t="shared" ref="S126:W126" si="218">S125*0.3775</f>
        <v>141147.25</v>
      </c>
      <c r="T126" s="257">
        <f t="shared" si="218"/>
        <v>0</v>
      </c>
      <c r="U126" s="257">
        <f t="shared" si="218"/>
        <v>0</v>
      </c>
      <c r="V126" s="257">
        <f t="shared" si="218"/>
        <v>0</v>
      </c>
      <c r="W126" s="257">
        <f t="shared" si="218"/>
        <v>0</v>
      </c>
      <c r="X126" s="241">
        <f t="shared" si="197"/>
        <v>1322165.7206250001</v>
      </c>
      <c r="Z126" s="257">
        <f>Z125*0.3775</f>
        <v>1505528.1865665</v>
      </c>
      <c r="AA126" s="257">
        <f t="shared" ref="AA126:AE126" si="219">AA125*0.3775</f>
        <v>173310.25</v>
      </c>
      <c r="AB126" s="257">
        <f t="shared" si="219"/>
        <v>0</v>
      </c>
      <c r="AC126" s="257">
        <f t="shared" si="219"/>
        <v>0</v>
      </c>
      <c r="AD126" s="257">
        <f t="shared" si="219"/>
        <v>0</v>
      </c>
      <c r="AE126" s="257">
        <f t="shared" si="219"/>
        <v>0</v>
      </c>
      <c r="AF126" s="241">
        <f t="shared" si="198"/>
        <v>1678838.4365665</v>
      </c>
      <c r="AH126" s="257">
        <f>AH125*0.3775</f>
        <v>2680663.2303750003</v>
      </c>
      <c r="AI126" s="257">
        <f t="shared" ref="AI126:AM126" si="220">AI125*0.3775</f>
        <v>457027.92499999999</v>
      </c>
      <c r="AJ126" s="257">
        <f t="shared" si="220"/>
        <v>0</v>
      </c>
      <c r="AK126" s="257">
        <f t="shared" si="220"/>
        <v>0</v>
      </c>
      <c r="AL126" s="257">
        <f t="shared" si="220"/>
        <v>0</v>
      </c>
      <c r="AM126" s="257">
        <f t="shared" si="220"/>
        <v>0</v>
      </c>
      <c r="AN126" s="241">
        <f t="shared" si="199"/>
        <v>3137691.1553750001</v>
      </c>
      <c r="AP126" s="257">
        <f>AP125*0.3775</f>
        <v>848721.0001249999</v>
      </c>
      <c r="AQ126" s="257">
        <f t="shared" ref="AQ126:AT126" si="221">AQ125*0.3775</f>
        <v>120237.52499999999</v>
      </c>
      <c r="AR126" s="257">
        <f t="shared" si="221"/>
        <v>0</v>
      </c>
      <c r="AS126" s="257">
        <f t="shared" si="221"/>
        <v>0</v>
      </c>
      <c r="AT126" s="257">
        <f t="shared" si="221"/>
        <v>54480.766025000004</v>
      </c>
      <c r="AU126" s="257">
        <f>AU125*0.3725</f>
        <v>0</v>
      </c>
      <c r="AV126" s="241">
        <f t="shared" si="200"/>
        <v>1023439.2911499999</v>
      </c>
      <c r="AX126" s="257">
        <f>AX125*0.3775</f>
        <v>69710.674193999992</v>
      </c>
      <c r="AY126" s="257">
        <f t="shared" ref="AY126:BC126" si="222">AY125*0.3775</f>
        <v>43107.97075</v>
      </c>
      <c r="AZ126" s="257">
        <f t="shared" si="222"/>
        <v>0</v>
      </c>
      <c r="BA126" s="257">
        <f t="shared" si="222"/>
        <v>0</v>
      </c>
      <c r="BB126" s="257">
        <f t="shared" si="222"/>
        <v>8159.6243347500003</v>
      </c>
      <c r="BC126" s="257">
        <f t="shared" si="222"/>
        <v>0</v>
      </c>
      <c r="BD126" s="241">
        <f t="shared" si="201"/>
        <v>120978.26927875</v>
      </c>
      <c r="BF126" s="257">
        <f>BF125*0.3775</f>
        <v>31577.195499999998</v>
      </c>
      <c r="BG126" s="257">
        <f t="shared" ref="BG126:BK126" si="223">BG125*0.3675</f>
        <v>0</v>
      </c>
      <c r="BH126" s="257">
        <f t="shared" si="223"/>
        <v>0</v>
      </c>
      <c r="BI126" s="257">
        <f t="shared" si="223"/>
        <v>0</v>
      </c>
      <c r="BJ126" s="257">
        <f t="shared" si="223"/>
        <v>36551.458124999997</v>
      </c>
      <c r="BK126" s="257">
        <f t="shared" si="223"/>
        <v>0</v>
      </c>
      <c r="BL126" s="241">
        <f t="shared" si="202"/>
        <v>68128.653624999992</v>
      </c>
      <c r="BN126" s="241">
        <f>B126+J126+R126+Z126+AH126+AP126+AX126+BF126</f>
        <v>10169028.004018001</v>
      </c>
      <c r="BO126" s="241">
        <f t="shared" ref="BO126:BS131" si="224">C126+K126+S126+AA126+AI126+AQ126+AY126+BG126</f>
        <v>1555890.1457499999</v>
      </c>
      <c r="BP126" s="241">
        <f t="shared" si="224"/>
        <v>0</v>
      </c>
      <c r="BQ126" s="241">
        <f t="shared" si="224"/>
        <v>0</v>
      </c>
      <c r="BR126" s="241">
        <f t="shared" si="224"/>
        <v>123974.72348474999</v>
      </c>
      <c r="BS126" s="241">
        <f t="shared" si="224"/>
        <v>0</v>
      </c>
      <c r="BT126" s="241">
        <f t="shared" ref="BT126:BT127" si="225">SUM(BN126:BS126)</f>
        <v>11848892.873252751</v>
      </c>
    </row>
    <row r="127" spans="1:72" x14ac:dyDescent="0.25">
      <c r="A127" s="201" t="s">
        <v>244</v>
      </c>
      <c r="B127" s="242">
        <f>(((9075*(B63*0.825))+((210*(B63*0.85))+((80*(B63*0.825))+(B63*60)+(B125*0.015)+(B125*0.03)))))</f>
        <v>495587.61561749998</v>
      </c>
      <c r="C127" s="242">
        <f t="shared" ref="C127:F127" si="226">(((9075*(C63*0.85))+((210*(C63*0.85))+((80*(C63*0.825))+(C63*60)+(C125*0.015)+(C125*0.03)))))</f>
        <v>91765.8</v>
      </c>
      <c r="D127" s="242">
        <f t="shared" si="226"/>
        <v>0</v>
      </c>
      <c r="E127" s="242">
        <f t="shared" si="226"/>
        <v>0</v>
      </c>
      <c r="F127" s="242">
        <f t="shared" si="226"/>
        <v>10972.5</v>
      </c>
      <c r="G127" s="242">
        <f t="shared" ref="G127" si="227">(((7600*(G63*0.85))+((190*(G63*0.85))+((70*(G63*0.825))+(G63*50)+(G125*0.015)+(G125*0.03)))))</f>
        <v>0</v>
      </c>
      <c r="H127" s="241">
        <f t="shared" si="195"/>
        <v>598325.91561749997</v>
      </c>
      <c r="J127" s="242">
        <f>(((9075*(J63*0.85))+((210*(J63*0.85))+((80*(J63*0.825))+(J63*60)+(J125*0.015)+(J125*0.03)))))</f>
        <v>1251861.8285175001</v>
      </c>
      <c r="K127" s="242">
        <f t="shared" ref="K127:O127" si="228">(((9075*(K63*0.85))+((210*(K63*0.85))+((80*(K63*0.825))+(K63*60)+(K125*0.015)+(K125*0.03)))))</f>
        <v>254888.25</v>
      </c>
      <c r="L127" s="242">
        <f t="shared" si="228"/>
        <v>0</v>
      </c>
      <c r="M127" s="242">
        <f t="shared" si="228"/>
        <v>0</v>
      </c>
      <c r="N127" s="242">
        <f t="shared" si="228"/>
        <v>0</v>
      </c>
      <c r="O127" s="242">
        <f t="shared" si="228"/>
        <v>0</v>
      </c>
      <c r="P127" s="241">
        <f t="shared" si="196"/>
        <v>1506750.0785175001</v>
      </c>
      <c r="R127" s="242">
        <f>(((9075*(R63*0.835))+((210*(R63*0.85))+((80*(R63*0.825))+(R63*60)+(R125*0.015)+(R125*0.03)))))</f>
        <v>542772.03374999994</v>
      </c>
      <c r="S127" s="242">
        <f t="shared" ref="S127:W127" si="229">(((9075*(S63*0.85))+((210*(S63*0.85))+((80*(S63*0.825))+(S63*60)+(S125*0.015)+(S125*0.03)))))</f>
        <v>80971.5</v>
      </c>
      <c r="T127" s="242">
        <f t="shared" si="229"/>
        <v>0</v>
      </c>
      <c r="U127" s="242">
        <f t="shared" si="229"/>
        <v>0</v>
      </c>
      <c r="V127" s="242">
        <f t="shared" si="229"/>
        <v>0</v>
      </c>
      <c r="W127" s="242">
        <f t="shared" si="229"/>
        <v>0</v>
      </c>
      <c r="X127" s="241">
        <f t="shared" si="197"/>
        <v>623743.53374999994</v>
      </c>
      <c r="Z127" s="242">
        <f>(((9075*(Z63*0.85))+((210*(Z63*0.85))+((80*(Z63*0.825))+(Z63*60)+(Z125*0.015)+(Z125*0.03)))))</f>
        <v>692634.93614699994</v>
      </c>
      <c r="AA127" s="242">
        <f t="shared" ref="AA127:AE127" si="230">(((9075*(AA63*0.85))+((210*(AA63*0.85))+((80*(AA63*0.825))+(AA63*60)+(AA125*0.015)+(AA125*0.03)))))</f>
        <v>100842</v>
      </c>
      <c r="AB127" s="242">
        <f t="shared" si="230"/>
        <v>0</v>
      </c>
      <c r="AC127" s="242">
        <f t="shared" si="230"/>
        <v>0</v>
      </c>
      <c r="AD127" s="242">
        <f t="shared" si="230"/>
        <v>0</v>
      </c>
      <c r="AE127" s="242">
        <f t="shared" si="230"/>
        <v>0</v>
      </c>
      <c r="AF127" s="241">
        <f t="shared" si="198"/>
        <v>793476.93614699994</v>
      </c>
      <c r="AH127" s="242">
        <f>(((9075*(AH63*0.85))+((210*(AH63*0.85))+((80*(AH63*0.825))+(AH63*60)+(AH125*0.015)+(AH125*0.03)))))</f>
        <v>1201556.7592500001</v>
      </c>
      <c r="AI127" s="242">
        <f t="shared" ref="AI127:AM127" si="231">(((9075*(AI63*0.85))+((210*(AI63*0.85))+((80*(AI63*0.825))+(AI63*60)+(AI125*0.015)+(AI125*0.03)))))</f>
        <v>254936.4</v>
      </c>
      <c r="AJ127" s="242">
        <f t="shared" si="231"/>
        <v>0</v>
      </c>
      <c r="AK127" s="242">
        <f t="shared" si="231"/>
        <v>0</v>
      </c>
      <c r="AL127" s="242">
        <f t="shared" si="231"/>
        <v>0</v>
      </c>
      <c r="AM127" s="242">
        <f t="shared" si="231"/>
        <v>0</v>
      </c>
      <c r="AN127" s="241">
        <f t="shared" si="199"/>
        <v>1456493.15925</v>
      </c>
      <c r="AP127" s="242">
        <f>(((9075*(AP63*0.8))+((210*(AP63*0.85))+((80*(AP63*0.825))+(AP63*60)+(AP125*0.015)+(AP125*0.03)))))</f>
        <v>381058.53975</v>
      </c>
      <c r="AQ127" s="242">
        <f t="shared" ref="AQ127:AS127" si="232">(((9075*(AQ63*0.8))+((210*(AQ63*0.85))+((80*(AQ63*0.825))+(AQ63*60)+(AQ125*0.015)+(AQ125*0.03)))))</f>
        <v>63502.2</v>
      </c>
      <c r="AR127" s="242">
        <f t="shared" si="232"/>
        <v>0</v>
      </c>
      <c r="AS127" s="242">
        <f t="shared" si="232"/>
        <v>0</v>
      </c>
      <c r="AT127" s="242">
        <f>(((9075*(AT63*0.8))+((210*(AT63*0.85))+((80*(AT63*0.825))+(AT63*60)+(AT125*0.015)+(AT125*0.03)))))*0.7</f>
        <v>23079.102165000004</v>
      </c>
      <c r="AU127" s="242">
        <f t="shared" ref="AU127" si="233">(((8250*(AU63*0.85))+((200*(AU63*0.85))+((75*(AU63*0.825))+(AU63*55)+(AU125*0.015)+(AU125*0.03)))))</f>
        <v>0</v>
      </c>
      <c r="AV127" s="241">
        <f t="shared" si="200"/>
        <v>467639.841915</v>
      </c>
      <c r="AX127" s="244">
        <f>(((9075*(AX63*0.85))+((210*(AX63*0.85))+((80*(AX63*0.825))+(AX63*60)+(AX125*0.015)+(AX125*0.03)))))</f>
        <v>40382.881691999995</v>
      </c>
      <c r="AY127" s="244">
        <f t="shared" ref="AY127:BB127" si="234">(((9075*(AY63*0.85))+((210*(AY63*0.85))+((80*(AY63*0.825))+(AY63*60)+(AY125*0.015)+(AY125*0.03)))))</f>
        <v>21175.198499999999</v>
      </c>
      <c r="AZ127" s="244">
        <f t="shared" si="234"/>
        <v>0</v>
      </c>
      <c r="BA127" s="244">
        <f t="shared" si="234"/>
        <v>0</v>
      </c>
      <c r="BB127" s="244">
        <f t="shared" si="234"/>
        <v>8990.9204504999998</v>
      </c>
      <c r="BC127" s="244">
        <f t="shared" ref="BC127" si="235">(((7600*(BC63*0.85))+((190*(BC63*0.85))+((70*(BC63*0.825))+(BC63*50)+(BC125*0.015)+(BC125*0.03)))))</f>
        <v>0</v>
      </c>
      <c r="BD127" s="241">
        <f t="shared" si="201"/>
        <v>70549.000642499988</v>
      </c>
      <c r="BF127" s="244">
        <f>BF125*0.18</f>
        <v>15056.675999999999</v>
      </c>
      <c r="BG127" s="244">
        <f t="shared" ref="BG127:BK127" si="236">BG125*0.175</f>
        <v>0</v>
      </c>
      <c r="BH127" s="244">
        <f t="shared" si="236"/>
        <v>0</v>
      </c>
      <c r="BI127" s="244">
        <f t="shared" si="236"/>
        <v>0</v>
      </c>
      <c r="BJ127" s="244">
        <f t="shared" si="236"/>
        <v>17405.456249999999</v>
      </c>
      <c r="BK127" s="244">
        <f t="shared" si="236"/>
        <v>0</v>
      </c>
      <c r="BL127" s="241">
        <f t="shared" si="202"/>
        <v>32462.132249999999</v>
      </c>
      <c r="BN127" s="241">
        <f t="shared" ref="BN127:BN131" si="237">B127+J127+R127+Z127+AH127+AP127+AX127+BF127</f>
        <v>4620911.2707239995</v>
      </c>
      <c r="BO127" s="241">
        <f t="shared" si="224"/>
        <v>868081.34850000008</v>
      </c>
      <c r="BP127" s="241">
        <f t="shared" si="224"/>
        <v>0</v>
      </c>
      <c r="BQ127" s="241">
        <f t="shared" si="224"/>
        <v>0</v>
      </c>
      <c r="BR127" s="241">
        <f t="shared" si="224"/>
        <v>60447.978865500001</v>
      </c>
      <c r="BS127" s="241">
        <f t="shared" si="224"/>
        <v>0</v>
      </c>
      <c r="BT127" s="241">
        <f t="shared" si="225"/>
        <v>5549440.5980894994</v>
      </c>
    </row>
    <row r="128" spans="1:72" x14ac:dyDescent="0.25">
      <c r="A128" s="201" t="s">
        <v>245</v>
      </c>
      <c r="B128" s="242">
        <f>(1250*B36)+((1500*(B41+B43))+(500*B50)+((1500*(B54+B55+B56))+(1250*B59)))</f>
        <v>57250</v>
      </c>
      <c r="C128" s="242">
        <f t="shared" ref="C128:G128" si="238">(1250*C36)+((1500*(C41+C43))+(500*C50)+((1500*(C54+C55+C56))+(1250*C59)))</f>
        <v>9750</v>
      </c>
      <c r="D128" s="242">
        <f t="shared" si="238"/>
        <v>0</v>
      </c>
      <c r="E128" s="242">
        <f t="shared" si="238"/>
        <v>0</v>
      </c>
      <c r="F128" s="242">
        <f t="shared" si="238"/>
        <v>1500</v>
      </c>
      <c r="G128" s="242">
        <f t="shared" si="238"/>
        <v>0</v>
      </c>
      <c r="H128" s="241">
        <f t="shared" si="195"/>
        <v>68500</v>
      </c>
      <c r="J128" s="242">
        <f>(1250*J36)+((1500*(J41+J43))+(500*J50)+((1500*(J54+J55+J56))+(1250*J59)))</f>
        <v>141000</v>
      </c>
      <c r="K128" s="242">
        <f>(1250*K36)+((1500*(K41+K43))+(500*K50)+((1500*(K54+K55+K56))+(1250*K59)))+(3*1000)</f>
        <v>29750</v>
      </c>
      <c r="L128" s="242">
        <f t="shared" ref="L128:O128" si="239">(1250*L36)+((1500*(L41+L43))+(500*L50)+((1500*(L54+L55+L56))+(1250*L59)))</f>
        <v>0</v>
      </c>
      <c r="M128" s="242">
        <f t="shared" si="239"/>
        <v>0</v>
      </c>
      <c r="N128" s="242">
        <f t="shared" si="239"/>
        <v>0</v>
      </c>
      <c r="O128" s="242">
        <f t="shared" si="239"/>
        <v>0</v>
      </c>
      <c r="P128" s="241">
        <f t="shared" si="196"/>
        <v>170750</v>
      </c>
      <c r="R128" s="242">
        <f>(1250*R36)+((1500*(R41+R43))+(500*R50)+((1500*(R54+R55+R56))+(1250*R59)))</f>
        <v>60750</v>
      </c>
      <c r="S128" s="242">
        <f t="shared" ref="S128:W128" si="240">(1250*S36)+((1500*(S41+S43))+(500*S50)+((1500*(S54+S55+S56))+(1250*S59)))</f>
        <v>9250</v>
      </c>
      <c r="T128" s="242">
        <f t="shared" si="240"/>
        <v>0</v>
      </c>
      <c r="U128" s="242">
        <f t="shared" si="240"/>
        <v>0</v>
      </c>
      <c r="V128" s="242">
        <f t="shared" si="240"/>
        <v>0</v>
      </c>
      <c r="W128" s="242">
        <f t="shared" si="240"/>
        <v>0</v>
      </c>
      <c r="X128" s="241">
        <f t="shared" si="197"/>
        <v>70000</v>
      </c>
      <c r="Z128" s="242">
        <f>(1250*Z36)+((1500*(Z41+Z43))+(500*Z50)+((1500*(Z54+Z55+Z56))+(1250*Z59)))</f>
        <v>79500</v>
      </c>
      <c r="AA128" s="242">
        <f t="shared" ref="AA128:AE128" si="241">(1250*AA36)+((1500*(AA41+AA43))+(500*AA50)+((1500*(AA54+AA55+AA56))+(1250*AA59)))</f>
        <v>12500</v>
      </c>
      <c r="AB128" s="242">
        <f t="shared" si="241"/>
        <v>0</v>
      </c>
      <c r="AC128" s="242">
        <f t="shared" si="241"/>
        <v>0</v>
      </c>
      <c r="AD128" s="242">
        <f t="shared" si="241"/>
        <v>0</v>
      </c>
      <c r="AE128" s="242">
        <f t="shared" si="241"/>
        <v>0</v>
      </c>
      <c r="AF128" s="241">
        <f t="shared" si="198"/>
        <v>92000</v>
      </c>
      <c r="AH128" s="242">
        <f>(1250*AH36)+((1500*(AH41+AH43))+(500*AH50)+((1500*(AH54+AH55+AH56))+(1250*AH59)))</f>
        <v>139250</v>
      </c>
      <c r="AI128" s="242">
        <f t="shared" ref="AI128:AM128" si="242">(1250*AI36)+((1500*(AI41+AI43))+(500*AI50)+((1500*(AI54+AI55+AI56))+(1250*AI59)))</f>
        <v>23750</v>
      </c>
      <c r="AJ128" s="242">
        <f t="shared" si="242"/>
        <v>0</v>
      </c>
      <c r="AK128" s="242">
        <f t="shared" si="242"/>
        <v>0</v>
      </c>
      <c r="AL128" s="242">
        <f t="shared" si="242"/>
        <v>0</v>
      </c>
      <c r="AM128" s="242">
        <f t="shared" si="242"/>
        <v>0</v>
      </c>
      <c r="AN128" s="241">
        <f t="shared" si="199"/>
        <v>163000</v>
      </c>
      <c r="AP128" s="242">
        <f>(1250*AP36)+((1500*(AP41+AP43))+(500*AP50)+((1500*(AP54+AP55+AP56))+(1250*AP59)))</f>
        <v>46750</v>
      </c>
      <c r="AQ128" s="242">
        <f t="shared" ref="AQ128:AU128" si="243">(1250*AQ36)+((1500*(AQ41+AQ43))+(500*AQ50)+((1500*(AQ54+AQ55+AQ56))+(1250*AQ59)))</f>
        <v>7375</v>
      </c>
      <c r="AR128" s="242">
        <f t="shared" si="243"/>
        <v>0</v>
      </c>
      <c r="AS128" s="242">
        <f t="shared" si="243"/>
        <v>0</v>
      </c>
      <c r="AT128" s="242">
        <f t="shared" si="243"/>
        <v>1750</v>
      </c>
      <c r="AU128" s="242">
        <f t="shared" si="243"/>
        <v>0</v>
      </c>
      <c r="AV128" s="241">
        <f t="shared" si="200"/>
        <v>55875</v>
      </c>
      <c r="AX128" s="242">
        <f>(1250*AX36)+((1500*(AX41+AX43))+(500*AX50)+((1500*(AX54+AX55+AX56))+(1250*AX59)))</f>
        <v>3000</v>
      </c>
      <c r="AY128" s="242">
        <f t="shared" ref="AY128:BC128" si="244">(1250*AY36)+((1500*(AY41+AY43))+(500*AY50)+((1500*(AY54+AY55+AY56))+(1250*AY59)))</f>
        <v>1750</v>
      </c>
      <c r="AZ128" s="242">
        <f t="shared" si="244"/>
        <v>0</v>
      </c>
      <c r="BA128" s="242">
        <f t="shared" si="244"/>
        <v>0</v>
      </c>
      <c r="BB128" s="242">
        <f t="shared" si="244"/>
        <v>500</v>
      </c>
      <c r="BC128" s="242">
        <f t="shared" si="244"/>
        <v>0</v>
      </c>
      <c r="BD128" s="241">
        <f t="shared" si="201"/>
        <v>5250</v>
      </c>
      <c r="BF128" s="242">
        <f>(1250*BF36)+((1500*(BF41+BF43))+(500*BF50)+((1500*(BF54+BF55+BF56))+(1250*BF59)))</f>
        <v>1250</v>
      </c>
      <c r="BG128" s="242">
        <f t="shared" ref="BG128:BK128" si="245">(1250*BG36)+((1500*(BG41+BG43))+(500*BG50)+((1500*(BG54+BG55+BG56))+(1250*BG59)))</f>
        <v>0</v>
      </c>
      <c r="BH128" s="242">
        <f t="shared" si="245"/>
        <v>0</v>
      </c>
      <c r="BI128" s="242">
        <f t="shared" si="245"/>
        <v>0</v>
      </c>
      <c r="BJ128" s="242">
        <f t="shared" si="245"/>
        <v>1500</v>
      </c>
      <c r="BK128" s="242">
        <f t="shared" si="245"/>
        <v>0</v>
      </c>
      <c r="BL128" s="241">
        <f t="shared" ref="BL128:BL129" si="246">SUM(BF128:BK128)</f>
        <v>2750</v>
      </c>
      <c r="BN128" s="241">
        <f t="shared" si="237"/>
        <v>528750</v>
      </c>
      <c r="BO128" s="241">
        <f t="shared" si="224"/>
        <v>94125</v>
      </c>
      <c r="BP128" s="241">
        <f t="shared" si="224"/>
        <v>0</v>
      </c>
      <c r="BQ128" s="241">
        <f t="shared" si="224"/>
        <v>0</v>
      </c>
      <c r="BR128" s="241">
        <f t="shared" si="224"/>
        <v>5250</v>
      </c>
      <c r="BS128" s="241">
        <f t="shared" si="224"/>
        <v>0</v>
      </c>
      <c r="BT128" s="241">
        <f t="shared" ref="BT128:BT129" si="247">SUM(BN128:BS128)</f>
        <v>628125</v>
      </c>
    </row>
    <row r="129" spans="1:72" x14ac:dyDescent="0.25">
      <c r="A129" s="201" t="s">
        <v>246</v>
      </c>
      <c r="B129" s="242">
        <f>(175*B36)+((175*(B41+B43))+(75*B50)+((175*(B54+B55+B56))+(1250*B59)))*1.09</f>
        <v>9230.25</v>
      </c>
      <c r="C129" s="242">
        <f t="shared" ref="C129:G129" si="248">(175*C36)+((175*(C41+C43))+(75*C50)+((175*(C54+C55+C56))+(1250*C59)))*1.09</f>
        <v>1392.75</v>
      </c>
      <c r="D129" s="242">
        <f t="shared" si="248"/>
        <v>0</v>
      </c>
      <c r="E129" s="242">
        <f t="shared" si="248"/>
        <v>0</v>
      </c>
      <c r="F129" s="242">
        <f t="shared" si="248"/>
        <v>190.75</v>
      </c>
      <c r="G129" s="242">
        <f t="shared" si="248"/>
        <v>0</v>
      </c>
      <c r="H129" s="241">
        <f t="shared" si="195"/>
        <v>10813.75</v>
      </c>
      <c r="J129" s="242">
        <f>(175*J36)+((175*(J41+J43))+(75*J50)+((175*(J54+J55+J56))+(1250*J59)))*1.09</f>
        <v>23343</v>
      </c>
      <c r="K129" s="242">
        <f t="shared" ref="K129:O129" si="249">(175*K36)+((175*(K41+K43))+(75*K50)+((175*(K54+K55+K56))+(1250*K59)))*1.09</f>
        <v>3828.25</v>
      </c>
      <c r="L129" s="242">
        <f t="shared" si="249"/>
        <v>0</v>
      </c>
      <c r="M129" s="242">
        <f t="shared" si="249"/>
        <v>0</v>
      </c>
      <c r="N129" s="242">
        <f t="shared" si="249"/>
        <v>0</v>
      </c>
      <c r="O129" s="242">
        <f t="shared" si="249"/>
        <v>0</v>
      </c>
      <c r="P129" s="241">
        <f t="shared" si="196"/>
        <v>27171.25</v>
      </c>
      <c r="R129" s="242">
        <f>(175*R36)+((175*(R41+R43))+(75*R50)+((175*(R54+R55+R56))+(1250*R59)))*1.09</f>
        <v>9743.75</v>
      </c>
      <c r="S129" s="242">
        <f t="shared" ref="S129:W129" si="250">(175*S36)+((175*(S41+S43))+(75*S50)+((175*(S54+S55+S56))+(1250*S59)))*1.09</f>
        <v>1313.125</v>
      </c>
      <c r="T129" s="242">
        <f t="shared" si="250"/>
        <v>0</v>
      </c>
      <c r="U129" s="242">
        <f t="shared" si="250"/>
        <v>0</v>
      </c>
      <c r="V129" s="242">
        <f t="shared" si="250"/>
        <v>0</v>
      </c>
      <c r="W129" s="242">
        <f t="shared" si="250"/>
        <v>0</v>
      </c>
      <c r="X129" s="241">
        <f t="shared" si="197"/>
        <v>11056.875</v>
      </c>
      <c r="Z129" s="242">
        <f>(175*Z36)+((175*(Z41+Z43))+(75*Z50)+((175*(Z54+Z55+Z56))+(1250*Z59)))*1.09</f>
        <v>13506</v>
      </c>
      <c r="AA129" s="242">
        <f t="shared" ref="AA129:AE129" si="251">(175*AA36)+((175*(AA41+AA43))+(75*AA50)+((175*(AA54+AA55+AA56))+(1250*AA59)))*1.09</f>
        <v>1760.625</v>
      </c>
      <c r="AB129" s="242">
        <f t="shared" si="251"/>
        <v>0</v>
      </c>
      <c r="AC129" s="242">
        <f t="shared" si="251"/>
        <v>0</v>
      </c>
      <c r="AD129" s="242">
        <f t="shared" si="251"/>
        <v>0</v>
      </c>
      <c r="AE129" s="242">
        <f t="shared" si="251"/>
        <v>0</v>
      </c>
      <c r="AF129" s="241">
        <f t="shared" si="198"/>
        <v>15266.625</v>
      </c>
      <c r="AH129" s="242">
        <f>(175*AH36)+((175*(AH41+AH43))+(75*AH50)+((175*(AH54+AH55+AH56))+(1250*AH59)))*1.09</f>
        <v>24265.25</v>
      </c>
      <c r="AI129" s="242">
        <f t="shared" ref="AI129:AM129" si="252">(175*AI36)+((175*(AI41+AI43))+(75*AI50)+((175*(AI54+AI55+AI56))+(1250*AI59)))*1.09</f>
        <v>3446.75</v>
      </c>
      <c r="AJ129" s="242">
        <f t="shared" si="252"/>
        <v>0</v>
      </c>
      <c r="AK129" s="242">
        <f t="shared" si="252"/>
        <v>0</v>
      </c>
      <c r="AL129" s="242">
        <f t="shared" si="252"/>
        <v>0</v>
      </c>
      <c r="AM129" s="242">
        <f t="shared" si="252"/>
        <v>0</v>
      </c>
      <c r="AN129" s="241">
        <f t="shared" si="199"/>
        <v>27712</v>
      </c>
      <c r="AP129" s="242">
        <f>(175*AP36)+((175*(AP41+AP43))+(75*AP50)+((175*(AP54+AP55+AP56))+(1250*AP59)))*1.09</f>
        <v>6506.5</v>
      </c>
      <c r="AQ129" s="242">
        <f t="shared" ref="AQ129:AU129" si="253">(175*AQ36)+((175*(AQ41+AQ43))+(75*AQ50)+((175*(AQ54+AQ55+AQ56))+(1250*AQ59)))*1.09</f>
        <v>1048.5</v>
      </c>
      <c r="AR129" s="242">
        <f t="shared" si="253"/>
        <v>0</v>
      </c>
      <c r="AS129" s="242">
        <f t="shared" si="253"/>
        <v>0</v>
      </c>
      <c r="AT129" s="242">
        <f t="shared" si="253"/>
        <v>286.125</v>
      </c>
      <c r="AU129" s="242">
        <f t="shared" si="253"/>
        <v>0</v>
      </c>
      <c r="AV129" s="241">
        <f t="shared" si="200"/>
        <v>7841.125</v>
      </c>
      <c r="AX129" s="242">
        <f>(175*AX36)+((175*(AX41+AX43))+(75*AX50)+((175*(AX54+AX55+AX56))+(1250*AX59)))*1.09</f>
        <v>436.00000000000006</v>
      </c>
      <c r="AY129" s="242">
        <f t="shared" ref="AY129:BC129" si="254">(175*AY36)+((175*(AY41+AY43))+(75*AY50)+((175*(AY54+AY55+AY56))+(1250*AY59)))*1.09</f>
        <v>256.75</v>
      </c>
      <c r="AZ129" s="242">
        <f t="shared" si="254"/>
        <v>0</v>
      </c>
      <c r="BA129" s="242">
        <f t="shared" si="254"/>
        <v>0</v>
      </c>
      <c r="BB129" s="242">
        <f t="shared" si="254"/>
        <v>81.75</v>
      </c>
      <c r="BC129" s="242">
        <f t="shared" si="254"/>
        <v>0</v>
      </c>
      <c r="BD129" s="241">
        <f t="shared" si="201"/>
        <v>774.5</v>
      </c>
      <c r="BF129" s="242">
        <f>(175*BF36)+((175*(BF41+BF43))+(75*BF50)+((175*(BF54+BF55+BF56))+(1250*BF59)))*1.09</f>
        <v>175</v>
      </c>
      <c r="BG129" s="242">
        <f t="shared" ref="BG129:BK129" si="255">(175*BG36)+((175*(BG41+BG43))+(75*BG50)+((175*(BG54+BG55+BG56))+(1250*BG59)))*1.09</f>
        <v>0</v>
      </c>
      <c r="BH129" s="242">
        <f t="shared" si="255"/>
        <v>0</v>
      </c>
      <c r="BI129" s="242">
        <f t="shared" si="255"/>
        <v>0</v>
      </c>
      <c r="BJ129" s="242">
        <f t="shared" si="255"/>
        <v>190.75</v>
      </c>
      <c r="BK129" s="242">
        <f t="shared" si="255"/>
        <v>0</v>
      </c>
      <c r="BL129" s="241">
        <f t="shared" si="246"/>
        <v>365.75</v>
      </c>
      <c r="BN129" s="241">
        <f t="shared" si="237"/>
        <v>87205.75</v>
      </c>
      <c r="BO129" s="241">
        <f t="shared" si="224"/>
        <v>13046.75</v>
      </c>
      <c r="BP129" s="241">
        <f t="shared" si="224"/>
        <v>0</v>
      </c>
      <c r="BQ129" s="241">
        <f t="shared" si="224"/>
        <v>0</v>
      </c>
      <c r="BR129" s="241">
        <f t="shared" si="224"/>
        <v>749.375</v>
      </c>
      <c r="BS129" s="241">
        <f t="shared" si="224"/>
        <v>0</v>
      </c>
      <c r="BT129" s="241">
        <f t="shared" si="247"/>
        <v>101001.875</v>
      </c>
    </row>
    <row r="130" spans="1:72" x14ac:dyDescent="0.25">
      <c r="A130" s="201" t="s">
        <v>247</v>
      </c>
      <c r="B130" s="244"/>
      <c r="C130" s="244"/>
      <c r="D130" s="244"/>
      <c r="E130" s="244"/>
      <c r="F130" s="244"/>
      <c r="G130" s="244"/>
      <c r="H130" s="241">
        <f t="shared" si="195"/>
        <v>0</v>
      </c>
      <c r="J130" s="244">
        <v>0</v>
      </c>
      <c r="K130" s="244"/>
      <c r="L130" s="244"/>
      <c r="M130" s="244"/>
      <c r="N130" s="244">
        <v>0</v>
      </c>
      <c r="O130" s="244"/>
      <c r="P130" s="241">
        <f t="shared" si="196"/>
        <v>0</v>
      </c>
      <c r="R130" s="244">
        <v>0</v>
      </c>
      <c r="S130" s="244"/>
      <c r="T130" s="244"/>
      <c r="U130" s="244"/>
      <c r="V130" s="244">
        <v>0</v>
      </c>
      <c r="W130" s="244"/>
      <c r="X130" s="241">
        <f t="shared" si="197"/>
        <v>0</v>
      </c>
      <c r="Z130" s="244">
        <v>0</v>
      </c>
      <c r="AA130" s="244"/>
      <c r="AB130" s="244"/>
      <c r="AC130" s="244"/>
      <c r="AD130" s="244">
        <v>0</v>
      </c>
      <c r="AE130" s="244"/>
      <c r="AF130" s="241">
        <f t="shared" si="198"/>
        <v>0</v>
      </c>
      <c r="AH130" s="244">
        <v>0</v>
      </c>
      <c r="AI130" s="244"/>
      <c r="AJ130" s="244"/>
      <c r="AK130" s="244"/>
      <c r="AL130" s="244">
        <v>0</v>
      </c>
      <c r="AM130" s="244"/>
      <c r="AN130" s="241">
        <f t="shared" si="199"/>
        <v>0</v>
      </c>
      <c r="AP130" s="279">
        <v>2500</v>
      </c>
      <c r="AQ130" s="244"/>
      <c r="AR130" s="244"/>
      <c r="AS130" s="244"/>
      <c r="AT130" s="244">
        <v>0</v>
      </c>
      <c r="AU130" s="244"/>
      <c r="AV130" s="241">
        <f t="shared" si="200"/>
        <v>2500</v>
      </c>
      <c r="AX130" s="244">
        <f>(130*(AX17+10)*12)+6000+15000+7000</f>
        <v>327520</v>
      </c>
      <c r="AY130" s="244">
        <v>21500</v>
      </c>
      <c r="AZ130" s="244"/>
      <c r="BA130" s="244"/>
      <c r="BB130" s="244">
        <v>0</v>
      </c>
      <c r="BC130" s="244"/>
      <c r="BD130" s="241">
        <f t="shared" si="201"/>
        <v>349020</v>
      </c>
      <c r="BF130" s="244"/>
      <c r="BG130" s="244"/>
      <c r="BH130" s="244"/>
      <c r="BI130" s="244"/>
      <c r="BJ130" s="244"/>
      <c r="BK130" s="244"/>
      <c r="BL130" s="241">
        <f t="shared" si="202"/>
        <v>0</v>
      </c>
      <c r="BN130" s="241">
        <f t="shared" si="237"/>
        <v>330020</v>
      </c>
      <c r="BO130" s="241">
        <f t="shared" si="224"/>
        <v>21500</v>
      </c>
      <c r="BP130" s="241">
        <f t="shared" si="224"/>
        <v>0</v>
      </c>
      <c r="BQ130" s="241">
        <f t="shared" si="224"/>
        <v>0</v>
      </c>
      <c r="BR130" s="241">
        <f t="shared" si="224"/>
        <v>0</v>
      </c>
      <c r="BS130" s="241">
        <f t="shared" si="224"/>
        <v>0</v>
      </c>
      <c r="BT130" s="241">
        <f t="shared" ref="BT130:BT131" si="256">SUM(BN130:BS130)</f>
        <v>351520</v>
      </c>
    </row>
    <row r="131" spans="1:72" x14ac:dyDescent="0.25">
      <c r="A131" s="202" t="s">
        <v>248</v>
      </c>
      <c r="B131" s="245">
        <v>10000</v>
      </c>
      <c r="C131" s="245"/>
      <c r="D131" s="245"/>
      <c r="E131" s="245"/>
      <c r="F131" s="245"/>
      <c r="G131" s="245"/>
      <c r="H131" s="262">
        <f t="shared" si="195"/>
        <v>10000</v>
      </c>
      <c r="J131" s="245">
        <v>15000</v>
      </c>
      <c r="K131" s="245"/>
      <c r="L131" s="245"/>
      <c r="M131" s="245"/>
      <c r="N131" s="245"/>
      <c r="O131" s="245"/>
      <c r="P131" s="262">
        <f t="shared" si="196"/>
        <v>15000</v>
      </c>
      <c r="R131" s="245">
        <v>15000</v>
      </c>
      <c r="S131" s="245"/>
      <c r="T131" s="245"/>
      <c r="U131" s="245"/>
      <c r="V131" s="245"/>
      <c r="W131" s="245"/>
      <c r="X131" s="262">
        <f t="shared" si="197"/>
        <v>15000</v>
      </c>
      <c r="Z131" s="245">
        <v>15000</v>
      </c>
      <c r="AA131" s="245"/>
      <c r="AB131" s="245"/>
      <c r="AC131" s="245"/>
      <c r="AD131" s="245"/>
      <c r="AE131" s="245"/>
      <c r="AF131" s="262">
        <f t="shared" si="198"/>
        <v>15000</v>
      </c>
      <c r="AH131" s="245">
        <v>15000</v>
      </c>
      <c r="AI131" s="245"/>
      <c r="AJ131" s="245"/>
      <c r="AK131" s="245"/>
      <c r="AL131" s="245"/>
      <c r="AM131" s="245"/>
      <c r="AN131" s="262">
        <f t="shared" si="199"/>
        <v>15000</v>
      </c>
      <c r="AP131" s="245">
        <v>3000</v>
      </c>
      <c r="AQ131" s="245"/>
      <c r="AR131" s="245"/>
      <c r="AS131" s="245"/>
      <c r="AT131" s="245"/>
      <c r="AU131" s="245"/>
      <c r="AV131" s="262">
        <f t="shared" si="200"/>
        <v>3000</v>
      </c>
      <c r="AX131" s="245">
        <v>2000</v>
      </c>
      <c r="AY131" s="245"/>
      <c r="AZ131" s="245"/>
      <c r="BA131" s="245"/>
      <c r="BB131" s="245"/>
      <c r="BC131" s="245"/>
      <c r="BD131" s="262">
        <f t="shared" si="201"/>
        <v>2000</v>
      </c>
      <c r="BF131" s="245"/>
      <c r="BG131" s="245"/>
      <c r="BH131" s="245"/>
      <c r="BI131" s="245"/>
      <c r="BJ131" s="245"/>
      <c r="BK131" s="245"/>
      <c r="BL131" s="262">
        <f t="shared" si="202"/>
        <v>0</v>
      </c>
      <c r="BN131" s="241">
        <f t="shared" si="237"/>
        <v>75000</v>
      </c>
      <c r="BO131" s="241">
        <f t="shared" si="224"/>
        <v>0</v>
      </c>
      <c r="BP131" s="241">
        <f t="shared" si="224"/>
        <v>0</v>
      </c>
      <c r="BQ131" s="241">
        <f t="shared" si="224"/>
        <v>0</v>
      </c>
      <c r="BR131" s="241">
        <f t="shared" si="224"/>
        <v>0</v>
      </c>
      <c r="BS131" s="241">
        <f t="shared" si="224"/>
        <v>0</v>
      </c>
      <c r="BT131" s="262">
        <f t="shared" si="256"/>
        <v>75000</v>
      </c>
    </row>
    <row r="132" spans="1:72" x14ac:dyDescent="0.25">
      <c r="A132" s="207" t="s">
        <v>330</v>
      </c>
      <c r="B132" s="258">
        <f>SUM(B126:B131)</f>
        <v>1657531.28690875</v>
      </c>
      <c r="C132" s="258">
        <f t="shared" ref="C132:H132" si="257">SUM(C126:C131)</f>
        <v>267343.77500000002</v>
      </c>
      <c r="D132" s="258">
        <f t="shared" si="257"/>
        <v>0</v>
      </c>
      <c r="E132" s="258">
        <f t="shared" si="257"/>
        <v>0</v>
      </c>
      <c r="F132" s="258">
        <f t="shared" si="257"/>
        <v>37446.125</v>
      </c>
      <c r="G132" s="258">
        <f t="shared" si="257"/>
        <v>0</v>
      </c>
      <c r="H132" s="258">
        <f t="shared" si="257"/>
        <v>1962321.1869087501</v>
      </c>
      <c r="J132" s="258">
        <f>SUM(J126:J131)</f>
        <v>4197550.6538587501</v>
      </c>
      <c r="K132" s="258">
        <f t="shared" ref="K132:P132" si="258">SUM(K126:K131)</f>
        <v>745090.5</v>
      </c>
      <c r="L132" s="258">
        <f t="shared" si="258"/>
        <v>0</v>
      </c>
      <c r="M132" s="258">
        <f t="shared" si="258"/>
        <v>0</v>
      </c>
      <c r="N132" s="258">
        <f t="shared" si="258"/>
        <v>0</v>
      </c>
      <c r="O132" s="258">
        <f t="shared" si="258"/>
        <v>0</v>
      </c>
      <c r="P132" s="258">
        <f t="shared" si="258"/>
        <v>4942641.1538587501</v>
      </c>
      <c r="R132" s="258">
        <f>SUM(R126:R131)</f>
        <v>1809284.254375</v>
      </c>
      <c r="S132" s="258">
        <f t="shared" ref="S132:X132" si="259">SUM(S126:S131)</f>
        <v>232681.875</v>
      </c>
      <c r="T132" s="258">
        <f t="shared" si="259"/>
        <v>0</v>
      </c>
      <c r="U132" s="258">
        <f t="shared" si="259"/>
        <v>0</v>
      </c>
      <c r="V132" s="258">
        <f t="shared" si="259"/>
        <v>0</v>
      </c>
      <c r="W132" s="258">
        <f t="shared" si="259"/>
        <v>0</v>
      </c>
      <c r="X132" s="258">
        <f t="shared" si="259"/>
        <v>2041966.129375</v>
      </c>
      <c r="Z132" s="258">
        <f>SUM(Z126:Z131)</f>
        <v>2306169.1227134997</v>
      </c>
      <c r="AA132" s="258">
        <f t="shared" ref="AA132:AF132" si="260">SUM(AA126:AA131)</f>
        <v>288412.875</v>
      </c>
      <c r="AB132" s="258">
        <f t="shared" si="260"/>
        <v>0</v>
      </c>
      <c r="AC132" s="258">
        <f t="shared" si="260"/>
        <v>0</v>
      </c>
      <c r="AD132" s="258">
        <f t="shared" si="260"/>
        <v>0</v>
      </c>
      <c r="AE132" s="258">
        <f t="shared" si="260"/>
        <v>0</v>
      </c>
      <c r="AF132" s="258">
        <f t="shared" si="260"/>
        <v>2594581.9977134997</v>
      </c>
      <c r="AH132" s="258">
        <f>SUM(AH126:AH131)</f>
        <v>4060735.2396250004</v>
      </c>
      <c r="AI132" s="258">
        <f t="shared" ref="AI132:AN132" si="261">SUM(AI126:AI131)</f>
        <v>739161.07499999995</v>
      </c>
      <c r="AJ132" s="258">
        <f t="shared" si="261"/>
        <v>0</v>
      </c>
      <c r="AK132" s="258">
        <f t="shared" si="261"/>
        <v>0</v>
      </c>
      <c r="AL132" s="258">
        <f t="shared" si="261"/>
        <v>0</v>
      </c>
      <c r="AM132" s="258">
        <f t="shared" si="261"/>
        <v>0</v>
      </c>
      <c r="AN132" s="258">
        <f t="shared" si="261"/>
        <v>4799896.3146250006</v>
      </c>
      <c r="AP132" s="258">
        <f>SUM(AP126:AP131)</f>
        <v>1288536.0398749998</v>
      </c>
      <c r="AQ132" s="258">
        <f t="shared" ref="AQ132:AV132" si="262">SUM(AQ126:AQ131)</f>
        <v>192163.22499999998</v>
      </c>
      <c r="AR132" s="258">
        <f t="shared" si="262"/>
        <v>0</v>
      </c>
      <c r="AS132" s="258">
        <f t="shared" si="262"/>
        <v>0</v>
      </c>
      <c r="AT132" s="258">
        <f t="shared" si="262"/>
        <v>79595.993190000008</v>
      </c>
      <c r="AU132" s="258">
        <f t="shared" si="262"/>
        <v>0</v>
      </c>
      <c r="AV132" s="258">
        <f t="shared" si="262"/>
        <v>1560295.2580649999</v>
      </c>
      <c r="AX132" s="258">
        <f>SUM(AX126:AX131)</f>
        <v>443049.55588599999</v>
      </c>
      <c r="AY132" s="258">
        <f t="shared" ref="AY132:BD132" si="263">SUM(AY126:AY131)</f>
        <v>87789.919250000006</v>
      </c>
      <c r="AZ132" s="258">
        <f t="shared" si="263"/>
        <v>0</v>
      </c>
      <c r="BA132" s="258">
        <f t="shared" si="263"/>
        <v>0</v>
      </c>
      <c r="BB132" s="258">
        <f t="shared" si="263"/>
        <v>17732.29478525</v>
      </c>
      <c r="BC132" s="258">
        <f t="shared" si="263"/>
        <v>0</v>
      </c>
      <c r="BD132" s="258">
        <f t="shared" si="263"/>
        <v>548571.76992124994</v>
      </c>
      <c r="BF132" s="258">
        <f>SUM(BF126:BF131)</f>
        <v>48058.871499999994</v>
      </c>
      <c r="BG132" s="258">
        <f t="shared" ref="BG132:BL132" si="264">SUM(BG126:BG131)</f>
        <v>0</v>
      </c>
      <c r="BH132" s="258">
        <f t="shared" si="264"/>
        <v>0</v>
      </c>
      <c r="BI132" s="258">
        <f t="shared" si="264"/>
        <v>0</v>
      </c>
      <c r="BJ132" s="258">
        <f t="shared" si="264"/>
        <v>55647.664374999993</v>
      </c>
      <c r="BK132" s="258">
        <f t="shared" si="264"/>
        <v>0</v>
      </c>
      <c r="BL132" s="258">
        <f t="shared" si="264"/>
        <v>103706.53587499999</v>
      </c>
      <c r="BN132" s="258">
        <f>SUM(BN126:BN131)</f>
        <v>15810915.024742</v>
      </c>
      <c r="BO132" s="258">
        <f t="shared" ref="BO132:BT132" si="265">SUM(BO126:BO131)</f>
        <v>2552643.24425</v>
      </c>
      <c r="BP132" s="258">
        <f t="shared" si="265"/>
        <v>0</v>
      </c>
      <c r="BQ132" s="258">
        <f t="shared" si="265"/>
        <v>0</v>
      </c>
      <c r="BR132" s="258">
        <f t="shared" si="265"/>
        <v>190422.07735024998</v>
      </c>
      <c r="BS132" s="258">
        <f t="shared" si="265"/>
        <v>0</v>
      </c>
      <c r="BT132" s="258">
        <f t="shared" si="265"/>
        <v>18553980.346342251</v>
      </c>
    </row>
    <row r="133" spans="1:72" x14ac:dyDescent="0.25">
      <c r="B133" s="263"/>
      <c r="C133" s="263"/>
      <c r="D133" s="263"/>
      <c r="E133" s="263"/>
      <c r="F133" s="263"/>
      <c r="G133" s="263"/>
      <c r="H133" s="263"/>
      <c r="J133" s="263"/>
      <c r="K133" s="263"/>
      <c r="L133" s="263"/>
      <c r="M133" s="263"/>
      <c r="N133" s="263"/>
      <c r="O133" s="263"/>
      <c r="P133" s="263"/>
      <c r="R133" s="263"/>
      <c r="S133" s="263"/>
      <c r="T133" s="263"/>
      <c r="U133" s="263"/>
      <c r="V133" s="263"/>
      <c r="W133" s="263"/>
      <c r="X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P133" s="263"/>
      <c r="AQ133" s="263"/>
      <c r="AR133" s="263"/>
      <c r="AS133" s="263"/>
      <c r="AT133" s="263"/>
      <c r="AU133" s="263"/>
      <c r="AV133" s="263"/>
      <c r="AX133" s="263"/>
      <c r="AY133" s="263"/>
      <c r="AZ133" s="263"/>
      <c r="BA133" s="263"/>
      <c r="BB133" s="263"/>
      <c r="BC133" s="263"/>
      <c r="BD133" s="263"/>
      <c r="BF133" s="263"/>
      <c r="BG133" s="263"/>
      <c r="BH133" s="263"/>
      <c r="BI133" s="263"/>
      <c r="BJ133" s="263"/>
      <c r="BK133" s="263"/>
      <c r="BL133" s="263"/>
      <c r="BN133" s="263"/>
      <c r="BO133" s="263"/>
      <c r="BP133" s="263"/>
      <c r="BQ133" s="263"/>
      <c r="BR133" s="263"/>
      <c r="BS133" s="263"/>
      <c r="BT133" s="263"/>
    </row>
    <row r="134" spans="1:72" x14ac:dyDescent="0.25">
      <c r="A134" s="208" t="s">
        <v>330</v>
      </c>
      <c r="B134" s="260" t="s">
        <v>309</v>
      </c>
      <c r="C134" s="260" t="s">
        <v>310</v>
      </c>
      <c r="D134" s="260" t="s">
        <v>311</v>
      </c>
      <c r="E134" s="260" t="str">
        <f>E118</f>
        <v>Other</v>
      </c>
      <c r="F134" s="260" t="s">
        <v>315</v>
      </c>
      <c r="G134" s="260" t="s">
        <v>314</v>
      </c>
      <c r="H134" s="260" t="str">
        <f>H118</f>
        <v>Horizon</v>
      </c>
      <c r="J134" s="260" t="s">
        <v>309</v>
      </c>
      <c r="K134" s="260" t="s">
        <v>310</v>
      </c>
      <c r="L134" s="260" t="s">
        <v>311</v>
      </c>
      <c r="M134" s="260" t="str">
        <f>M118</f>
        <v>Other</v>
      </c>
      <c r="N134" s="260" t="s">
        <v>315</v>
      </c>
      <c r="O134" s="260" t="s">
        <v>314</v>
      </c>
      <c r="P134" s="260" t="str">
        <f>P118</f>
        <v>Cadence</v>
      </c>
      <c r="R134" s="260" t="s">
        <v>309</v>
      </c>
      <c r="S134" s="260" t="s">
        <v>310</v>
      </c>
      <c r="T134" s="260" t="s">
        <v>311</v>
      </c>
      <c r="U134" s="260" t="str">
        <f>U118</f>
        <v>Other</v>
      </c>
      <c r="V134" s="260" t="s">
        <v>315</v>
      </c>
      <c r="W134" s="260" t="s">
        <v>314</v>
      </c>
      <c r="X134" s="260" t="str">
        <f>X118</f>
        <v>St. Rose</v>
      </c>
      <c r="Z134" s="260" t="s">
        <v>309</v>
      </c>
      <c r="AA134" s="260" t="s">
        <v>310</v>
      </c>
      <c r="AB134" s="260" t="s">
        <v>311</v>
      </c>
      <c r="AC134" s="260" t="str">
        <f>AC118</f>
        <v>Other</v>
      </c>
      <c r="AD134" s="260" t="s">
        <v>315</v>
      </c>
      <c r="AE134" s="260" t="s">
        <v>314</v>
      </c>
      <c r="AF134" s="260" t="str">
        <f>AF118</f>
        <v>Inspirada</v>
      </c>
      <c r="AH134" s="260" t="s">
        <v>309</v>
      </c>
      <c r="AI134" s="260" t="s">
        <v>310</v>
      </c>
      <c r="AJ134" s="260" t="s">
        <v>311</v>
      </c>
      <c r="AK134" s="260" t="str">
        <f>AK118</f>
        <v>Other</v>
      </c>
      <c r="AL134" s="260" t="s">
        <v>315</v>
      </c>
      <c r="AM134" s="260" t="s">
        <v>314</v>
      </c>
      <c r="AN134" s="260" t="str">
        <f>AN118</f>
        <v>Sloan</v>
      </c>
      <c r="AP134" s="260" t="s">
        <v>309</v>
      </c>
      <c r="AQ134" s="260" t="s">
        <v>310</v>
      </c>
      <c r="AR134" s="260" t="s">
        <v>311</v>
      </c>
      <c r="AS134" s="260" t="str">
        <f>AS118</f>
        <v>Other</v>
      </c>
      <c r="AT134" s="260" t="s">
        <v>315</v>
      </c>
      <c r="AU134" s="260" t="s">
        <v>314</v>
      </c>
      <c r="AV134" s="260" t="str">
        <f>AV118</f>
        <v>Springs</v>
      </c>
      <c r="AX134" s="260" t="s">
        <v>309</v>
      </c>
      <c r="AY134" s="260" t="s">
        <v>310</v>
      </c>
      <c r="AZ134" s="260" t="s">
        <v>311</v>
      </c>
      <c r="BA134" s="260" t="str">
        <f>BA118</f>
        <v>Other</v>
      </c>
      <c r="BB134" s="260" t="s">
        <v>315</v>
      </c>
      <c r="BC134" s="260" t="s">
        <v>314</v>
      </c>
      <c r="BD134" s="260" t="str">
        <f>BD118</f>
        <v>Virtual</v>
      </c>
      <c r="BF134" s="260" t="s">
        <v>309</v>
      </c>
      <c r="BG134" s="260" t="s">
        <v>310</v>
      </c>
      <c r="BH134" s="260" t="s">
        <v>311</v>
      </c>
      <c r="BI134" s="260" t="str">
        <f>BI118</f>
        <v>Other</v>
      </c>
      <c r="BJ134" s="260" t="s">
        <v>315</v>
      </c>
      <c r="BK134" s="260" t="s">
        <v>314</v>
      </c>
      <c r="BL134" s="260" t="str">
        <f>BL118</f>
        <v>Central</v>
      </c>
      <c r="BN134" s="260" t="s">
        <v>309</v>
      </c>
      <c r="BO134" s="260" t="s">
        <v>310</v>
      </c>
      <c r="BP134" s="260" t="s">
        <v>311</v>
      </c>
      <c r="BQ134" s="260" t="str">
        <f>BQ118</f>
        <v>Other</v>
      </c>
      <c r="BR134" s="260" t="s">
        <v>315</v>
      </c>
      <c r="BS134" s="260" t="s">
        <v>314</v>
      </c>
      <c r="BT134" s="260" t="str">
        <f>BT118</f>
        <v>System</v>
      </c>
    </row>
    <row r="135" spans="1:72" x14ac:dyDescent="0.25">
      <c r="A135" s="209" t="s">
        <v>252</v>
      </c>
      <c r="B135" s="257">
        <f>(235*950)</f>
        <v>223250</v>
      </c>
      <c r="C135" s="257"/>
      <c r="D135" s="257"/>
      <c r="E135" s="257"/>
      <c r="F135" s="257"/>
      <c r="G135" s="257"/>
      <c r="H135" s="257">
        <f>SUM(B135:G135)</f>
        <v>223250</v>
      </c>
      <c r="J135" s="257">
        <f>(235*2550)</f>
        <v>599250</v>
      </c>
      <c r="L135" s="257"/>
      <c r="M135" s="257"/>
      <c r="N135" s="257"/>
      <c r="O135" s="257"/>
      <c r="P135" s="257">
        <f>SUM(J135:O135)</f>
        <v>599250</v>
      </c>
      <c r="R135" s="257">
        <f>(235*1050)</f>
        <v>246750</v>
      </c>
      <c r="S135" s="257"/>
      <c r="T135" s="257"/>
      <c r="U135" s="257"/>
      <c r="V135" s="257"/>
      <c r="W135" s="257"/>
      <c r="X135" s="257">
        <f>SUM(R135:W135)</f>
        <v>246750</v>
      </c>
      <c r="Z135" s="257">
        <f>(235*1200)</f>
        <v>282000</v>
      </c>
      <c r="AA135" s="257"/>
      <c r="AB135" s="257"/>
      <c r="AC135" s="257"/>
      <c r="AD135" s="257"/>
      <c r="AE135" s="257"/>
      <c r="AF135" s="257">
        <f>SUM(Z135:AE135)</f>
        <v>282000</v>
      </c>
      <c r="AH135" s="257">
        <f>(235*2550)</f>
        <v>599250</v>
      </c>
      <c r="AI135" s="257"/>
      <c r="AJ135" s="257"/>
      <c r="AK135" s="257"/>
      <c r="AL135" s="257"/>
      <c r="AM135" s="257"/>
      <c r="AN135" s="257">
        <f>SUM(AH135:AM135)</f>
        <v>599250</v>
      </c>
      <c r="AP135" s="257">
        <f>(235*705)</f>
        <v>165675</v>
      </c>
      <c r="AQ135" s="257"/>
      <c r="AR135" s="257"/>
      <c r="AS135" s="257"/>
      <c r="AT135" s="257"/>
      <c r="AU135" s="257"/>
      <c r="AV135" s="257">
        <f>SUM(AP135:AU135)</f>
        <v>165675</v>
      </c>
      <c r="AX135" s="257">
        <f>(455*150)</f>
        <v>68250</v>
      </c>
      <c r="AY135" s="257"/>
      <c r="AZ135" s="257"/>
      <c r="BA135" s="257"/>
      <c r="BB135" s="257"/>
      <c r="BC135" s="257"/>
      <c r="BD135" s="257">
        <f>SUM(AX135:BC135)</f>
        <v>68250</v>
      </c>
      <c r="BF135" s="257"/>
      <c r="BG135" s="257"/>
      <c r="BH135" s="257"/>
      <c r="BI135" s="257"/>
      <c r="BJ135" s="257"/>
      <c r="BK135" s="257"/>
      <c r="BL135" s="257">
        <f>SUM(BF135:BK135)</f>
        <v>0</v>
      </c>
      <c r="BN135" s="241">
        <f>B135+J135+R135+Z135+AH135+AP135+AX135+BF135</f>
        <v>2184425</v>
      </c>
      <c r="BO135" s="241">
        <f t="shared" ref="BO135:BS140" si="266">C135+K135+S135+AA135+AI135+AQ135+AY135+BG135</f>
        <v>0</v>
      </c>
      <c r="BP135" s="241">
        <f t="shared" si="266"/>
        <v>0</v>
      </c>
      <c r="BQ135" s="241">
        <f t="shared" si="266"/>
        <v>0</v>
      </c>
      <c r="BR135" s="241">
        <f t="shared" si="266"/>
        <v>0</v>
      </c>
      <c r="BS135" s="241">
        <f t="shared" si="266"/>
        <v>0</v>
      </c>
      <c r="BT135" s="257">
        <f>SUM(BN135:BS135)</f>
        <v>2184425</v>
      </c>
    </row>
    <row r="136" spans="1:72" x14ac:dyDescent="0.25">
      <c r="A136" s="210" t="s">
        <v>253</v>
      </c>
      <c r="B136" s="244"/>
      <c r="C136" s="244"/>
      <c r="D136" s="244"/>
      <c r="E136" s="244"/>
      <c r="F136" s="244"/>
      <c r="G136" s="244"/>
      <c r="H136" s="257">
        <f t="shared" ref="H136:H140" si="267">SUM(B136:G136)</f>
        <v>0</v>
      </c>
      <c r="J136" s="244">
        <v>485000</v>
      </c>
      <c r="K136" s="244"/>
      <c r="L136" s="244"/>
      <c r="M136" s="244"/>
      <c r="N136" s="244"/>
      <c r="O136" s="244"/>
      <c r="P136" s="257">
        <f t="shared" ref="P136:P140" si="268">SUM(J136:O136)</f>
        <v>485000</v>
      </c>
      <c r="R136" s="244"/>
      <c r="S136" s="244"/>
      <c r="T136" s="244"/>
      <c r="U136" s="244"/>
      <c r="V136" s="244"/>
      <c r="W136" s="244"/>
      <c r="X136" s="257">
        <f t="shared" ref="X136:X140" si="269">SUM(R136:W136)</f>
        <v>0</v>
      </c>
      <c r="Z136" s="244"/>
      <c r="AA136" s="244"/>
      <c r="AB136" s="244"/>
      <c r="AC136" s="244"/>
      <c r="AD136" s="244"/>
      <c r="AE136" s="244"/>
      <c r="AF136" s="257">
        <f t="shared" ref="AF136:AF140" si="270">SUM(Z136:AE136)</f>
        <v>0</v>
      </c>
      <c r="AH136" s="244">
        <v>475000</v>
      </c>
      <c r="AI136" s="244"/>
      <c r="AJ136" s="244"/>
      <c r="AK136" s="244"/>
      <c r="AL136" s="244"/>
      <c r="AM136" s="244"/>
      <c r="AN136" s="257">
        <f t="shared" ref="AN136:AN140" si="271">SUM(AH136:AM136)</f>
        <v>475000</v>
      </c>
      <c r="AP136" s="244"/>
      <c r="AQ136" s="244"/>
      <c r="AR136" s="244"/>
      <c r="AS136" s="244"/>
      <c r="AT136" s="244"/>
      <c r="AU136" s="244"/>
      <c r="AV136" s="257">
        <f t="shared" ref="AV136:AV140" si="272">SUM(AP136:AU136)</f>
        <v>0</v>
      </c>
      <c r="AX136" s="244">
        <v>35000</v>
      </c>
      <c r="AY136" s="244"/>
      <c r="AZ136" s="244"/>
      <c r="BA136" s="244"/>
      <c r="BB136" s="244"/>
      <c r="BC136" s="244"/>
      <c r="BD136" s="257">
        <f t="shared" ref="BD136:BD140" si="273">SUM(AX136:BC136)</f>
        <v>35000</v>
      </c>
      <c r="BF136" s="244"/>
      <c r="BG136" s="244"/>
      <c r="BH136" s="244"/>
      <c r="BI136" s="244"/>
      <c r="BJ136" s="244"/>
      <c r="BK136" s="244"/>
      <c r="BL136" s="257">
        <f t="shared" ref="BL136:BL140" si="274">SUM(BF136:BK136)</f>
        <v>0</v>
      </c>
      <c r="BN136" s="241">
        <f t="shared" ref="BN136:BN140" si="275">B136+J136+R136+Z136+AH136+AP136+AX136+BF136</f>
        <v>995000</v>
      </c>
      <c r="BO136" s="241">
        <f t="shared" si="266"/>
        <v>0</v>
      </c>
      <c r="BP136" s="241">
        <f t="shared" si="266"/>
        <v>0</v>
      </c>
      <c r="BQ136" s="241">
        <f t="shared" si="266"/>
        <v>0</v>
      </c>
      <c r="BR136" s="241">
        <f t="shared" si="266"/>
        <v>0</v>
      </c>
      <c r="BS136" s="241">
        <f t="shared" si="266"/>
        <v>0</v>
      </c>
      <c r="BT136" s="257">
        <f t="shared" ref="BT136:BT140" si="276">SUM(BN136:BS136)</f>
        <v>995000</v>
      </c>
    </row>
    <row r="137" spans="1:72" x14ac:dyDescent="0.25">
      <c r="A137" s="211" t="s">
        <v>254</v>
      </c>
      <c r="B137" s="244"/>
      <c r="C137" s="244"/>
      <c r="D137" s="244"/>
      <c r="E137" s="244"/>
      <c r="F137" s="244"/>
      <c r="G137" s="244"/>
      <c r="H137" s="257">
        <f t="shared" si="267"/>
        <v>0</v>
      </c>
      <c r="J137" s="244">
        <v>50000</v>
      </c>
      <c r="K137" s="244"/>
      <c r="L137" s="244"/>
      <c r="M137" s="244"/>
      <c r="N137" s="244"/>
      <c r="O137" s="244"/>
      <c r="P137" s="257">
        <f t="shared" si="268"/>
        <v>50000</v>
      </c>
      <c r="R137" s="244"/>
      <c r="S137" s="244"/>
      <c r="T137" s="244"/>
      <c r="U137" s="244"/>
      <c r="V137" s="244"/>
      <c r="W137" s="244"/>
      <c r="X137" s="257">
        <f t="shared" si="269"/>
        <v>0</v>
      </c>
      <c r="Z137" s="244"/>
      <c r="AA137" s="244"/>
      <c r="AB137" s="244"/>
      <c r="AC137" s="244"/>
      <c r="AD137" s="244"/>
      <c r="AE137" s="244"/>
      <c r="AF137" s="257">
        <f t="shared" si="270"/>
        <v>0</v>
      </c>
      <c r="AH137" s="244">
        <f>1500*100</f>
        <v>150000</v>
      </c>
      <c r="AI137" s="244"/>
      <c r="AJ137" s="244"/>
      <c r="AK137" s="244"/>
      <c r="AL137" s="244"/>
      <c r="AM137" s="244"/>
      <c r="AN137" s="257">
        <f t="shared" si="271"/>
        <v>150000</v>
      </c>
      <c r="AP137" s="244"/>
      <c r="AQ137" s="244"/>
      <c r="AR137" s="244"/>
      <c r="AS137" s="244"/>
      <c r="AT137" s="244"/>
      <c r="AU137" s="244"/>
      <c r="AV137" s="257">
        <f t="shared" si="272"/>
        <v>0</v>
      </c>
      <c r="AX137" s="244">
        <v>0</v>
      </c>
      <c r="AY137" s="244"/>
      <c r="AZ137" s="244"/>
      <c r="BA137" s="244"/>
      <c r="BB137" s="244"/>
      <c r="BC137" s="244"/>
      <c r="BD137" s="257">
        <f t="shared" si="273"/>
        <v>0</v>
      </c>
      <c r="BF137" s="244"/>
      <c r="BG137" s="244"/>
      <c r="BH137" s="244"/>
      <c r="BI137" s="244"/>
      <c r="BJ137" s="244">
        <v>290000</v>
      </c>
      <c r="BK137" s="244"/>
      <c r="BL137" s="257">
        <f t="shared" si="274"/>
        <v>290000</v>
      </c>
      <c r="BN137" s="241">
        <f t="shared" si="275"/>
        <v>200000</v>
      </c>
      <c r="BO137" s="241">
        <f t="shared" si="266"/>
        <v>0</v>
      </c>
      <c r="BP137" s="241">
        <f t="shared" si="266"/>
        <v>0</v>
      </c>
      <c r="BQ137" s="241">
        <f t="shared" si="266"/>
        <v>0</v>
      </c>
      <c r="BR137" s="241">
        <f t="shared" si="266"/>
        <v>290000</v>
      </c>
      <c r="BS137" s="241">
        <f t="shared" si="266"/>
        <v>0</v>
      </c>
      <c r="BT137" s="257">
        <f t="shared" si="276"/>
        <v>490000</v>
      </c>
    </row>
    <row r="138" spans="1:72" x14ac:dyDescent="0.25">
      <c r="A138" s="211" t="s">
        <v>255</v>
      </c>
      <c r="B138" s="244">
        <f>37*B17</f>
        <v>34299</v>
      </c>
      <c r="C138" s="244"/>
      <c r="D138" s="244"/>
      <c r="E138" s="244"/>
      <c r="F138" s="244"/>
      <c r="G138" s="244"/>
      <c r="H138" s="257">
        <f t="shared" si="267"/>
        <v>34299</v>
      </c>
      <c r="J138" s="244">
        <f>37*J17</f>
        <v>93018</v>
      </c>
      <c r="K138" s="244"/>
      <c r="L138" s="244"/>
      <c r="M138" s="244"/>
      <c r="N138" s="244"/>
      <c r="O138" s="244"/>
      <c r="P138" s="257">
        <f t="shared" si="268"/>
        <v>93018</v>
      </c>
      <c r="R138" s="244">
        <f>37*R17</f>
        <v>38110</v>
      </c>
      <c r="S138" s="244"/>
      <c r="T138" s="244"/>
      <c r="U138" s="244"/>
      <c r="V138" s="244"/>
      <c r="W138" s="244"/>
      <c r="X138" s="257">
        <f t="shared" si="269"/>
        <v>38110</v>
      </c>
      <c r="Z138" s="244">
        <f>37*Z17</f>
        <v>44326</v>
      </c>
      <c r="AA138" s="244"/>
      <c r="AB138" s="244"/>
      <c r="AC138" s="244"/>
      <c r="AD138" s="244"/>
      <c r="AE138" s="244"/>
      <c r="AF138" s="257">
        <f t="shared" si="270"/>
        <v>44326</v>
      </c>
      <c r="AH138" s="244">
        <f>37*AH17+20000</f>
        <v>113980</v>
      </c>
      <c r="AI138" s="244"/>
      <c r="AJ138" s="244"/>
      <c r="AK138" s="244"/>
      <c r="AL138" s="244"/>
      <c r="AM138" s="244"/>
      <c r="AN138" s="257">
        <f t="shared" si="271"/>
        <v>113980</v>
      </c>
      <c r="AP138" s="244">
        <f>36*AP17</f>
        <v>29304</v>
      </c>
      <c r="AQ138" s="244"/>
      <c r="AR138" s="244"/>
      <c r="AS138" s="244"/>
      <c r="AT138" s="244"/>
      <c r="AU138" s="244"/>
      <c r="AV138" s="257">
        <f t="shared" si="272"/>
        <v>29304</v>
      </c>
      <c r="AX138" s="244">
        <f>27*AX17</f>
        <v>4914</v>
      </c>
      <c r="AY138" s="244"/>
      <c r="AZ138" s="244"/>
      <c r="BA138" s="244"/>
      <c r="BB138" s="244"/>
      <c r="BC138" s="244"/>
      <c r="BD138" s="257">
        <f t="shared" si="273"/>
        <v>4914</v>
      </c>
      <c r="BF138" s="244">
        <f>35*BF17</f>
        <v>0</v>
      </c>
      <c r="BG138" s="244"/>
      <c r="BH138" s="244"/>
      <c r="BI138" s="244"/>
      <c r="BJ138" s="244"/>
      <c r="BK138" s="244"/>
      <c r="BL138" s="257">
        <f t="shared" si="274"/>
        <v>0</v>
      </c>
      <c r="BN138" s="241">
        <f t="shared" si="275"/>
        <v>357951</v>
      </c>
      <c r="BO138" s="241">
        <f t="shared" si="266"/>
        <v>0</v>
      </c>
      <c r="BP138" s="241">
        <f t="shared" si="266"/>
        <v>0</v>
      </c>
      <c r="BQ138" s="241">
        <f t="shared" si="266"/>
        <v>0</v>
      </c>
      <c r="BR138" s="241">
        <f t="shared" si="266"/>
        <v>0</v>
      </c>
      <c r="BS138" s="241">
        <f t="shared" si="266"/>
        <v>0</v>
      </c>
      <c r="BT138" s="257">
        <f t="shared" si="276"/>
        <v>357951</v>
      </c>
    </row>
    <row r="139" spans="1:72" x14ac:dyDescent="0.25">
      <c r="A139" s="211" t="s">
        <v>256</v>
      </c>
      <c r="B139" s="244">
        <v>0</v>
      </c>
      <c r="C139" s="244"/>
      <c r="D139" s="244"/>
      <c r="E139" s="244"/>
      <c r="F139" s="244"/>
      <c r="G139" s="244"/>
      <c r="H139" s="257">
        <f t="shared" si="267"/>
        <v>0</v>
      </c>
      <c r="J139" s="244"/>
      <c r="K139" s="244"/>
      <c r="L139" s="244"/>
      <c r="M139" s="244"/>
      <c r="N139" s="244"/>
      <c r="O139" s="244"/>
      <c r="P139" s="257">
        <f t="shared" si="268"/>
        <v>0</v>
      </c>
      <c r="R139" s="244">
        <v>0</v>
      </c>
      <c r="S139" s="244"/>
      <c r="T139" s="244"/>
      <c r="U139" s="244"/>
      <c r="V139" s="244"/>
      <c r="W139" s="244"/>
      <c r="X139" s="257">
        <f t="shared" si="269"/>
        <v>0</v>
      </c>
      <c r="Z139" s="244">
        <v>0</v>
      </c>
      <c r="AA139" s="244"/>
      <c r="AB139" s="244"/>
      <c r="AC139" s="244"/>
      <c r="AD139" s="244"/>
      <c r="AE139" s="244"/>
      <c r="AF139" s="257">
        <f t="shared" si="270"/>
        <v>0</v>
      </c>
      <c r="AH139" s="244">
        <v>0</v>
      </c>
      <c r="AI139" s="244"/>
      <c r="AJ139" s="244"/>
      <c r="AK139" s="244"/>
      <c r="AL139" s="244"/>
      <c r="AM139" s="244"/>
      <c r="AN139" s="257">
        <f t="shared" si="271"/>
        <v>0</v>
      </c>
      <c r="AP139" s="244">
        <v>0</v>
      </c>
      <c r="AQ139" s="244"/>
      <c r="AR139" s="244"/>
      <c r="AS139" s="244"/>
      <c r="AT139" s="244"/>
      <c r="AU139" s="244"/>
      <c r="AV139" s="257">
        <f t="shared" si="272"/>
        <v>0</v>
      </c>
      <c r="AX139" s="244">
        <v>0</v>
      </c>
      <c r="AY139" s="244"/>
      <c r="AZ139" s="244"/>
      <c r="BA139" s="244"/>
      <c r="BB139" s="244"/>
      <c r="BC139" s="244"/>
      <c r="BD139" s="257">
        <f t="shared" si="273"/>
        <v>0</v>
      </c>
      <c r="BF139" s="244">
        <f>(22*BF17)</f>
        <v>0</v>
      </c>
      <c r="BG139" s="244"/>
      <c r="BH139" s="244"/>
      <c r="BI139" s="244"/>
      <c r="BJ139" s="244"/>
      <c r="BK139" s="244"/>
      <c r="BL139" s="257">
        <f t="shared" si="274"/>
        <v>0</v>
      </c>
      <c r="BN139" s="241">
        <f t="shared" si="275"/>
        <v>0</v>
      </c>
      <c r="BO139" s="241">
        <f t="shared" si="266"/>
        <v>0</v>
      </c>
      <c r="BP139" s="241">
        <f t="shared" si="266"/>
        <v>0</v>
      </c>
      <c r="BQ139" s="241">
        <f t="shared" si="266"/>
        <v>0</v>
      </c>
      <c r="BR139" s="241">
        <f t="shared" si="266"/>
        <v>0</v>
      </c>
      <c r="BS139" s="241">
        <f t="shared" si="266"/>
        <v>0</v>
      </c>
      <c r="BT139" s="257">
        <f t="shared" si="276"/>
        <v>0</v>
      </c>
    </row>
    <row r="140" spans="1:72" x14ac:dyDescent="0.25">
      <c r="A140" s="212" t="s">
        <v>257</v>
      </c>
      <c r="B140" s="245"/>
      <c r="C140" s="245">
        <f>185*C21</f>
        <v>20720</v>
      </c>
      <c r="D140" s="245"/>
      <c r="E140" s="245"/>
      <c r="F140" s="245"/>
      <c r="G140" s="245"/>
      <c r="H140" s="257">
        <f t="shared" si="267"/>
        <v>20720</v>
      </c>
      <c r="J140" s="245"/>
      <c r="K140" s="245">
        <f>185*K21</f>
        <v>52725</v>
      </c>
      <c r="L140" s="245"/>
      <c r="M140" s="245"/>
      <c r="N140" s="245"/>
      <c r="O140" s="245"/>
      <c r="P140" s="257">
        <f t="shared" si="268"/>
        <v>52725</v>
      </c>
      <c r="R140" s="245"/>
      <c r="S140" s="245">
        <f>185*S21</f>
        <v>14800</v>
      </c>
      <c r="T140" s="245"/>
      <c r="U140" s="245"/>
      <c r="V140" s="245"/>
      <c r="W140" s="245"/>
      <c r="X140" s="257">
        <f t="shared" si="269"/>
        <v>14800</v>
      </c>
      <c r="Z140" s="245"/>
      <c r="AA140" s="245">
        <f>185*AA21</f>
        <v>18500</v>
      </c>
      <c r="AB140" s="245"/>
      <c r="AC140" s="245"/>
      <c r="AD140" s="245"/>
      <c r="AE140" s="245"/>
      <c r="AF140" s="257">
        <f t="shared" si="270"/>
        <v>18500</v>
      </c>
      <c r="AH140" s="245"/>
      <c r="AI140" s="245">
        <f>185*AI21</f>
        <v>39775</v>
      </c>
      <c r="AJ140" s="245"/>
      <c r="AK140" s="245"/>
      <c r="AL140" s="245"/>
      <c r="AM140" s="245"/>
      <c r="AN140" s="257">
        <f t="shared" si="271"/>
        <v>39775</v>
      </c>
      <c r="AP140" s="245"/>
      <c r="AQ140" s="245">
        <f>180*AQ21</f>
        <v>15120</v>
      </c>
      <c r="AR140" s="245"/>
      <c r="AS140" s="245"/>
      <c r="AT140" s="245"/>
      <c r="AU140" s="245"/>
      <c r="AV140" s="257">
        <f t="shared" si="272"/>
        <v>15120</v>
      </c>
      <c r="AX140" s="245"/>
      <c r="AY140" s="245">
        <f>185*AY21</f>
        <v>3885</v>
      </c>
      <c r="AZ140" s="245"/>
      <c r="BA140" s="245"/>
      <c r="BB140" s="245"/>
      <c r="BC140" s="245"/>
      <c r="BD140" s="257">
        <f t="shared" si="273"/>
        <v>3885</v>
      </c>
      <c r="BF140" s="245"/>
      <c r="BG140" s="245">
        <f>175*BG21</f>
        <v>0</v>
      </c>
      <c r="BH140" s="245"/>
      <c r="BI140" s="245"/>
      <c r="BJ140" s="245"/>
      <c r="BK140" s="245"/>
      <c r="BL140" s="257">
        <f t="shared" si="274"/>
        <v>0</v>
      </c>
      <c r="BN140" s="241">
        <f t="shared" si="275"/>
        <v>0</v>
      </c>
      <c r="BO140" s="241">
        <f t="shared" si="266"/>
        <v>165525</v>
      </c>
      <c r="BP140" s="241">
        <f t="shared" si="266"/>
        <v>0</v>
      </c>
      <c r="BQ140" s="241">
        <f t="shared" si="266"/>
        <v>0</v>
      </c>
      <c r="BR140" s="241">
        <f t="shared" si="266"/>
        <v>0</v>
      </c>
      <c r="BS140" s="241">
        <f t="shared" si="266"/>
        <v>0</v>
      </c>
      <c r="BT140" s="257">
        <f t="shared" si="276"/>
        <v>165525</v>
      </c>
    </row>
    <row r="141" spans="1:72" x14ac:dyDescent="0.25">
      <c r="A141" s="213"/>
      <c r="B141" s="258">
        <f>SUM(B135:B140)</f>
        <v>257549</v>
      </c>
      <c r="C141" s="258">
        <f t="shared" ref="C141:H141" si="277">SUM(C135:C140)</f>
        <v>20720</v>
      </c>
      <c r="D141" s="258">
        <f t="shared" si="277"/>
        <v>0</v>
      </c>
      <c r="E141" s="258">
        <f t="shared" si="277"/>
        <v>0</v>
      </c>
      <c r="F141" s="258">
        <f t="shared" si="277"/>
        <v>0</v>
      </c>
      <c r="G141" s="258">
        <f t="shared" si="277"/>
        <v>0</v>
      </c>
      <c r="H141" s="258">
        <f t="shared" si="277"/>
        <v>278269</v>
      </c>
      <c r="J141" s="258">
        <f>SUM(J135:J140)</f>
        <v>1227268</v>
      </c>
      <c r="K141" s="258">
        <f>SUM(K134:K140)</f>
        <v>52725</v>
      </c>
      <c r="L141" s="258">
        <f t="shared" ref="L141:P141" si="278">SUM(L135:L140)</f>
        <v>0</v>
      </c>
      <c r="M141" s="258">
        <f t="shared" si="278"/>
        <v>0</v>
      </c>
      <c r="N141" s="258">
        <f t="shared" si="278"/>
        <v>0</v>
      </c>
      <c r="O141" s="258">
        <f t="shared" si="278"/>
        <v>0</v>
      </c>
      <c r="P141" s="258">
        <f t="shared" si="278"/>
        <v>1279993</v>
      </c>
      <c r="R141" s="258">
        <f>SUM(R135:R140)</f>
        <v>284860</v>
      </c>
      <c r="S141" s="258">
        <f t="shared" ref="S141:X141" si="279">SUM(S135:S140)</f>
        <v>14800</v>
      </c>
      <c r="T141" s="258">
        <f t="shared" si="279"/>
        <v>0</v>
      </c>
      <c r="U141" s="258">
        <f t="shared" si="279"/>
        <v>0</v>
      </c>
      <c r="V141" s="258">
        <f t="shared" si="279"/>
        <v>0</v>
      </c>
      <c r="W141" s="258">
        <f t="shared" si="279"/>
        <v>0</v>
      </c>
      <c r="X141" s="258">
        <f t="shared" si="279"/>
        <v>299660</v>
      </c>
      <c r="Z141" s="258">
        <f>SUM(Z135:Z140)</f>
        <v>326326</v>
      </c>
      <c r="AA141" s="258">
        <f t="shared" ref="AA141:AF141" si="280">SUM(AA135:AA140)</f>
        <v>18500</v>
      </c>
      <c r="AB141" s="258">
        <f t="shared" si="280"/>
        <v>0</v>
      </c>
      <c r="AC141" s="258">
        <f t="shared" si="280"/>
        <v>0</v>
      </c>
      <c r="AD141" s="258">
        <f t="shared" si="280"/>
        <v>0</v>
      </c>
      <c r="AE141" s="258">
        <f t="shared" si="280"/>
        <v>0</v>
      </c>
      <c r="AF141" s="258">
        <f t="shared" si="280"/>
        <v>344826</v>
      </c>
      <c r="AH141" s="258">
        <f>SUM(AH135:AH140)</f>
        <v>1338230</v>
      </c>
      <c r="AI141" s="258">
        <f t="shared" ref="AI141:AN141" si="281">SUM(AI135:AI140)</f>
        <v>39775</v>
      </c>
      <c r="AJ141" s="258">
        <f t="shared" si="281"/>
        <v>0</v>
      </c>
      <c r="AK141" s="258">
        <f t="shared" si="281"/>
        <v>0</v>
      </c>
      <c r="AL141" s="258">
        <f t="shared" si="281"/>
        <v>0</v>
      </c>
      <c r="AM141" s="258">
        <f t="shared" si="281"/>
        <v>0</v>
      </c>
      <c r="AN141" s="258">
        <f t="shared" si="281"/>
        <v>1378005</v>
      </c>
      <c r="AP141" s="258">
        <f>SUM(AP135:AP140)</f>
        <v>194979</v>
      </c>
      <c r="AQ141" s="258">
        <f t="shared" ref="AQ141:AV141" si="282">SUM(AQ135:AQ140)</f>
        <v>15120</v>
      </c>
      <c r="AR141" s="258">
        <f t="shared" si="282"/>
        <v>0</v>
      </c>
      <c r="AS141" s="258">
        <f t="shared" si="282"/>
        <v>0</v>
      </c>
      <c r="AT141" s="258">
        <f t="shared" si="282"/>
        <v>0</v>
      </c>
      <c r="AU141" s="258">
        <f t="shared" si="282"/>
        <v>0</v>
      </c>
      <c r="AV141" s="258">
        <f t="shared" si="282"/>
        <v>210099</v>
      </c>
      <c r="AX141" s="258">
        <f>SUM(AX135:AX140)</f>
        <v>108164</v>
      </c>
      <c r="AY141" s="258">
        <f t="shared" ref="AY141:BD141" si="283">SUM(AY135:AY140)</f>
        <v>3885</v>
      </c>
      <c r="AZ141" s="258">
        <f t="shared" si="283"/>
        <v>0</v>
      </c>
      <c r="BA141" s="258">
        <f t="shared" si="283"/>
        <v>0</v>
      </c>
      <c r="BB141" s="258">
        <f t="shared" si="283"/>
        <v>0</v>
      </c>
      <c r="BC141" s="258">
        <f t="shared" si="283"/>
        <v>0</v>
      </c>
      <c r="BD141" s="258">
        <f t="shared" si="283"/>
        <v>112049</v>
      </c>
      <c r="BF141" s="258">
        <f>SUM(BF135:BF140)</f>
        <v>0</v>
      </c>
      <c r="BG141" s="258">
        <f t="shared" ref="BG141:BL141" si="284">SUM(BG135:BG140)</f>
        <v>0</v>
      </c>
      <c r="BH141" s="258">
        <f t="shared" si="284"/>
        <v>0</v>
      </c>
      <c r="BI141" s="258">
        <f t="shared" si="284"/>
        <v>0</v>
      </c>
      <c r="BJ141" s="258">
        <f t="shared" si="284"/>
        <v>290000</v>
      </c>
      <c r="BK141" s="258">
        <f t="shared" si="284"/>
        <v>0</v>
      </c>
      <c r="BL141" s="258">
        <f t="shared" si="284"/>
        <v>290000</v>
      </c>
      <c r="BN141" s="258">
        <f>SUM(BN135:BN140)</f>
        <v>3737376</v>
      </c>
      <c r="BO141" s="258">
        <f t="shared" ref="BO141:BT141" si="285">SUM(BO135:BO140)</f>
        <v>165525</v>
      </c>
      <c r="BP141" s="258">
        <f t="shared" si="285"/>
        <v>0</v>
      </c>
      <c r="BQ141" s="258">
        <f t="shared" si="285"/>
        <v>0</v>
      </c>
      <c r="BR141" s="258">
        <f t="shared" si="285"/>
        <v>290000</v>
      </c>
      <c r="BS141" s="258">
        <f t="shared" si="285"/>
        <v>0</v>
      </c>
      <c r="BT141" s="258">
        <f t="shared" si="285"/>
        <v>4192901</v>
      </c>
    </row>
    <row r="142" spans="1:72" x14ac:dyDescent="0.25">
      <c r="B142" s="259"/>
      <c r="C142" s="259"/>
      <c r="D142" s="259"/>
      <c r="E142" s="259"/>
      <c r="F142" s="259"/>
      <c r="G142" s="259"/>
      <c r="H142" s="259"/>
      <c r="J142" s="259"/>
      <c r="K142" s="259"/>
      <c r="L142" s="259"/>
      <c r="M142" s="259"/>
      <c r="N142" s="259"/>
      <c r="O142" s="259"/>
      <c r="P142" s="259"/>
      <c r="R142" s="259"/>
      <c r="S142" s="259"/>
      <c r="T142" s="259"/>
      <c r="U142" s="259"/>
      <c r="V142" s="259"/>
      <c r="W142" s="259"/>
      <c r="X142" s="259"/>
      <c r="Z142" s="259"/>
      <c r="AA142" s="259"/>
      <c r="AB142" s="259"/>
      <c r="AC142" s="259"/>
      <c r="AD142" s="259"/>
      <c r="AE142" s="259"/>
      <c r="AF142" s="259"/>
      <c r="AH142" s="259"/>
      <c r="AI142" s="259"/>
      <c r="AJ142" s="259"/>
      <c r="AK142" s="259"/>
      <c r="AL142" s="259"/>
      <c r="AM142" s="259"/>
      <c r="AN142" s="259"/>
      <c r="AP142" s="259"/>
      <c r="AQ142" s="259"/>
      <c r="AR142" s="259"/>
      <c r="AS142" s="259"/>
      <c r="AT142" s="259"/>
      <c r="AU142" s="259"/>
      <c r="AV142" s="259"/>
      <c r="AX142" s="259"/>
      <c r="AY142" s="259"/>
      <c r="AZ142" s="259"/>
      <c r="BA142" s="259"/>
      <c r="BB142" s="259"/>
      <c r="BC142" s="259"/>
      <c r="BD142" s="259"/>
      <c r="BF142" s="259"/>
      <c r="BG142" s="259"/>
      <c r="BH142" s="259"/>
      <c r="BI142" s="259"/>
      <c r="BJ142" s="259"/>
      <c r="BK142" s="259"/>
      <c r="BL142" s="259"/>
      <c r="BN142" s="259"/>
      <c r="BO142" s="259"/>
      <c r="BP142" s="259"/>
      <c r="BQ142" s="259"/>
      <c r="BR142" s="259"/>
      <c r="BS142" s="259"/>
      <c r="BT142" s="259"/>
    </row>
    <row r="143" spans="1:72" x14ac:dyDescent="0.25">
      <c r="A143" s="208" t="s">
        <v>333</v>
      </c>
      <c r="B143" s="260" t="s">
        <v>309</v>
      </c>
      <c r="C143" s="260" t="s">
        <v>310</v>
      </c>
      <c r="D143" s="260" t="s">
        <v>311</v>
      </c>
      <c r="E143" s="260" t="str">
        <f>E134</f>
        <v>Other</v>
      </c>
      <c r="F143" s="260" t="s">
        <v>315</v>
      </c>
      <c r="G143" s="260" t="s">
        <v>314</v>
      </c>
      <c r="H143" s="260" t="str">
        <f>H134</f>
        <v>Horizon</v>
      </c>
      <c r="J143" s="260" t="s">
        <v>309</v>
      </c>
      <c r="K143" s="260" t="s">
        <v>310</v>
      </c>
      <c r="L143" s="260" t="s">
        <v>311</v>
      </c>
      <c r="M143" s="260" t="str">
        <f>M134</f>
        <v>Other</v>
      </c>
      <c r="N143" s="260" t="s">
        <v>315</v>
      </c>
      <c r="O143" s="260" t="s">
        <v>314</v>
      </c>
      <c r="P143" s="260" t="str">
        <f>P118</f>
        <v>Cadence</v>
      </c>
      <c r="R143" s="260" t="s">
        <v>309</v>
      </c>
      <c r="S143" s="260" t="s">
        <v>310</v>
      </c>
      <c r="T143" s="260" t="s">
        <v>311</v>
      </c>
      <c r="U143" s="260" t="str">
        <f>U134</f>
        <v>Other</v>
      </c>
      <c r="V143" s="260" t="s">
        <v>315</v>
      </c>
      <c r="W143" s="260" t="s">
        <v>314</v>
      </c>
      <c r="X143" s="260" t="str">
        <f>X134</f>
        <v>St. Rose</v>
      </c>
      <c r="Z143" s="260" t="s">
        <v>309</v>
      </c>
      <c r="AA143" s="260" t="s">
        <v>310</v>
      </c>
      <c r="AB143" s="260" t="s">
        <v>311</v>
      </c>
      <c r="AC143" s="260" t="str">
        <f>AC134</f>
        <v>Other</v>
      </c>
      <c r="AD143" s="260" t="s">
        <v>315</v>
      </c>
      <c r="AE143" s="260" t="s">
        <v>314</v>
      </c>
      <c r="AF143" s="260" t="str">
        <f>AF134</f>
        <v>Inspirada</v>
      </c>
      <c r="AH143" s="260" t="s">
        <v>309</v>
      </c>
      <c r="AI143" s="260" t="s">
        <v>310</v>
      </c>
      <c r="AJ143" s="260" t="s">
        <v>311</v>
      </c>
      <c r="AK143" s="260" t="str">
        <f>AK134</f>
        <v>Other</v>
      </c>
      <c r="AL143" s="260" t="s">
        <v>315</v>
      </c>
      <c r="AM143" s="260" t="s">
        <v>314</v>
      </c>
      <c r="AN143" s="260" t="str">
        <f>AN134</f>
        <v>Sloan</v>
      </c>
      <c r="AP143" s="260" t="s">
        <v>309</v>
      </c>
      <c r="AQ143" s="260" t="s">
        <v>310</v>
      </c>
      <c r="AR143" s="260" t="s">
        <v>311</v>
      </c>
      <c r="AS143" s="260" t="str">
        <f>AS134</f>
        <v>Other</v>
      </c>
      <c r="AT143" s="260" t="s">
        <v>315</v>
      </c>
      <c r="AU143" s="260" t="s">
        <v>314</v>
      </c>
      <c r="AV143" s="260" t="str">
        <f>AV134</f>
        <v>Springs</v>
      </c>
      <c r="AX143" s="260" t="s">
        <v>309</v>
      </c>
      <c r="AY143" s="260" t="s">
        <v>310</v>
      </c>
      <c r="AZ143" s="260" t="s">
        <v>311</v>
      </c>
      <c r="BA143" s="260" t="str">
        <f>BA134</f>
        <v>Other</v>
      </c>
      <c r="BB143" s="260" t="s">
        <v>315</v>
      </c>
      <c r="BC143" s="260" t="s">
        <v>314</v>
      </c>
      <c r="BD143" s="260" t="str">
        <f>BD134</f>
        <v>Virtual</v>
      </c>
      <c r="BF143" s="260" t="s">
        <v>309</v>
      </c>
      <c r="BG143" s="260" t="s">
        <v>310</v>
      </c>
      <c r="BH143" s="260" t="s">
        <v>311</v>
      </c>
      <c r="BI143" s="260" t="str">
        <f>BI134</f>
        <v>Other</v>
      </c>
      <c r="BJ143" s="260" t="s">
        <v>315</v>
      </c>
      <c r="BK143" s="260" t="s">
        <v>314</v>
      </c>
      <c r="BL143" s="260" t="str">
        <f>BL134</f>
        <v>Central</v>
      </c>
      <c r="BN143" s="260" t="s">
        <v>309</v>
      </c>
      <c r="BO143" s="260" t="s">
        <v>310</v>
      </c>
      <c r="BP143" s="260" t="s">
        <v>311</v>
      </c>
      <c r="BQ143" s="260" t="str">
        <f>BQ134</f>
        <v>Other</v>
      </c>
      <c r="BR143" s="260" t="s">
        <v>315</v>
      </c>
      <c r="BS143" s="260" t="s">
        <v>314</v>
      </c>
      <c r="BT143" s="260" t="str">
        <f>BT134</f>
        <v>System</v>
      </c>
    </row>
    <row r="144" spans="1:72" x14ac:dyDescent="0.25">
      <c r="A144" s="214" t="s">
        <v>258</v>
      </c>
      <c r="B144" s="257">
        <f>32*B17</f>
        <v>29664</v>
      </c>
      <c r="C144" s="257"/>
      <c r="D144" s="257"/>
      <c r="E144" s="257"/>
      <c r="F144" s="257"/>
      <c r="G144" s="257"/>
      <c r="H144" s="241">
        <f>SUM(B144:G144)</f>
        <v>29664</v>
      </c>
      <c r="J144" s="257">
        <f>32*J17</f>
        <v>80448</v>
      </c>
      <c r="K144" s="257"/>
      <c r="L144" s="257"/>
      <c r="M144" s="257"/>
      <c r="N144" s="257"/>
      <c r="O144" s="257"/>
      <c r="P144" s="241">
        <f>SUM(J144:O144)</f>
        <v>80448</v>
      </c>
      <c r="R144" s="257">
        <f>32*R17</f>
        <v>32960</v>
      </c>
      <c r="S144" s="257"/>
      <c r="T144" s="257"/>
      <c r="U144" s="257"/>
      <c r="V144" s="257"/>
      <c r="W144" s="257"/>
      <c r="X144" s="241">
        <f>SUM(R144:W144)</f>
        <v>32960</v>
      </c>
      <c r="Z144" s="257">
        <f>32*Z17</f>
        <v>38336</v>
      </c>
      <c r="AA144" s="257"/>
      <c r="AB144" s="257"/>
      <c r="AC144" s="257"/>
      <c r="AD144" s="257"/>
      <c r="AE144" s="257"/>
      <c r="AF144" s="241">
        <f>SUM(Z144:AE144)</f>
        <v>38336</v>
      </c>
      <c r="AH144" s="257">
        <f>32*AH17</f>
        <v>81280</v>
      </c>
      <c r="AI144" s="257"/>
      <c r="AJ144" s="257"/>
      <c r="AK144" s="257"/>
      <c r="AL144" s="257"/>
      <c r="AM144" s="257"/>
      <c r="AN144" s="241">
        <f>SUM(AH144:AM144)</f>
        <v>81280</v>
      </c>
      <c r="AP144" s="257">
        <f>31*AP17</f>
        <v>25234</v>
      </c>
      <c r="AQ144" s="257"/>
      <c r="AR144" s="257"/>
      <c r="AS144" s="257"/>
      <c r="AT144" s="257"/>
      <c r="AU144" s="257"/>
      <c r="AV144" s="241">
        <f>SUM(AP144:AU144)</f>
        <v>25234</v>
      </c>
      <c r="AX144" s="257">
        <f>22*AX17</f>
        <v>4004</v>
      </c>
      <c r="AY144" s="257"/>
      <c r="AZ144" s="257"/>
      <c r="BA144" s="257"/>
      <c r="BB144" s="257"/>
      <c r="BC144" s="257"/>
      <c r="BD144" s="241">
        <f>SUM(AX144:BC144)</f>
        <v>4004</v>
      </c>
      <c r="BF144" s="257"/>
      <c r="BG144" s="257"/>
      <c r="BH144" s="257"/>
      <c r="BI144" s="257"/>
      <c r="BJ144" s="257"/>
      <c r="BK144" s="257"/>
      <c r="BL144" s="241">
        <f>SUM(BF144:BK144)</f>
        <v>0</v>
      </c>
      <c r="BN144" s="241">
        <f>B144+J144+R144+Z144+AH144+AP144+AX144+BF144</f>
        <v>291926</v>
      </c>
      <c r="BO144" s="241">
        <f t="shared" ref="BO144:BS148" si="286">C144+K144+S144+AA144+AI144+AQ144+AY144+BG144</f>
        <v>0</v>
      </c>
      <c r="BP144" s="241">
        <f t="shared" si="286"/>
        <v>0</v>
      </c>
      <c r="BQ144" s="241">
        <f t="shared" si="286"/>
        <v>0</v>
      </c>
      <c r="BR144" s="241">
        <f t="shared" si="286"/>
        <v>0</v>
      </c>
      <c r="BS144" s="241">
        <f t="shared" si="286"/>
        <v>0</v>
      </c>
      <c r="BT144" s="241">
        <f>SUM(BN144:BS144)</f>
        <v>291926</v>
      </c>
    </row>
    <row r="145" spans="1:72" x14ac:dyDescent="0.25">
      <c r="A145" s="211" t="s">
        <v>256</v>
      </c>
      <c r="B145" s="244">
        <f>(27*B17)</f>
        <v>25029</v>
      </c>
      <c r="C145" s="244"/>
      <c r="D145" s="244"/>
      <c r="E145" s="244"/>
      <c r="F145" s="244"/>
      <c r="G145" s="244"/>
      <c r="H145" s="241">
        <f t="shared" ref="H145:H148" si="287">SUM(B145:G145)</f>
        <v>25029</v>
      </c>
      <c r="J145" s="244">
        <f>(27*J17)</f>
        <v>67878</v>
      </c>
      <c r="K145" s="244"/>
      <c r="L145" s="244"/>
      <c r="M145" s="244"/>
      <c r="N145" s="244"/>
      <c r="O145" s="244"/>
      <c r="P145" s="241">
        <f t="shared" ref="P145:P148" si="288">SUM(J145:O145)</f>
        <v>67878</v>
      </c>
      <c r="R145" s="244">
        <f>(27*R17)</f>
        <v>27810</v>
      </c>
      <c r="S145" s="244"/>
      <c r="T145" s="244"/>
      <c r="U145" s="244"/>
      <c r="V145" s="244"/>
      <c r="W145" s="244"/>
      <c r="X145" s="241">
        <f t="shared" ref="X145:X148" si="289">SUM(R145:W145)</f>
        <v>27810</v>
      </c>
      <c r="Z145" s="244">
        <f>(27*Z17)</f>
        <v>32346</v>
      </c>
      <c r="AA145" s="244"/>
      <c r="AB145" s="244"/>
      <c r="AC145" s="244"/>
      <c r="AD145" s="244"/>
      <c r="AE145" s="244"/>
      <c r="AF145" s="241">
        <f t="shared" ref="AF145:AF148" si="290">SUM(Z145:AE145)</f>
        <v>32346</v>
      </c>
      <c r="AH145" s="244">
        <f>(27*AH17)</f>
        <v>68580</v>
      </c>
      <c r="AI145" s="244"/>
      <c r="AJ145" s="244"/>
      <c r="AK145" s="244"/>
      <c r="AL145" s="244"/>
      <c r="AM145" s="244"/>
      <c r="AN145" s="241">
        <f t="shared" ref="AN145:AN148" si="291">SUM(AH145:AM145)</f>
        <v>68580</v>
      </c>
      <c r="AP145" s="244">
        <f>(26*AP17)</f>
        <v>21164</v>
      </c>
      <c r="AQ145" s="244"/>
      <c r="AR145" s="244"/>
      <c r="AS145" s="244"/>
      <c r="AT145" s="244"/>
      <c r="AU145" s="244"/>
      <c r="AV145" s="241">
        <f t="shared" ref="AV145:AV148" si="292">SUM(AP145:AU145)</f>
        <v>21164</v>
      </c>
      <c r="AX145" s="244">
        <f>(27*AX17)</f>
        <v>4914</v>
      </c>
      <c r="AY145" s="244"/>
      <c r="AZ145" s="244"/>
      <c r="BA145" s="244"/>
      <c r="BB145" s="244"/>
      <c r="BC145" s="244"/>
      <c r="BD145" s="241">
        <f t="shared" ref="BD145:BD148" si="293">SUM(AX145:BC145)</f>
        <v>4914</v>
      </c>
      <c r="BF145" s="244">
        <f>(3*BF17)</f>
        <v>0</v>
      </c>
      <c r="BG145" s="244"/>
      <c r="BH145" s="244"/>
      <c r="BI145" s="244"/>
      <c r="BJ145" s="244"/>
      <c r="BK145" s="244"/>
      <c r="BL145" s="241">
        <f t="shared" ref="BL145:BL148" si="294">SUM(BF145:BK145)</f>
        <v>0</v>
      </c>
      <c r="BN145" s="241">
        <f t="shared" ref="BN145:BN148" si="295">B145+J145+R145+Z145+AH145+AP145+AX145+BF145</f>
        <v>247721</v>
      </c>
      <c r="BO145" s="241">
        <f t="shared" si="286"/>
        <v>0</v>
      </c>
      <c r="BP145" s="241">
        <f t="shared" si="286"/>
        <v>0</v>
      </c>
      <c r="BQ145" s="241">
        <f t="shared" si="286"/>
        <v>0</v>
      </c>
      <c r="BR145" s="241">
        <f t="shared" si="286"/>
        <v>0</v>
      </c>
      <c r="BS145" s="241">
        <f t="shared" si="286"/>
        <v>0</v>
      </c>
      <c r="BT145" s="241">
        <f t="shared" ref="BT145:BT148" si="296">SUM(BN145:BS145)</f>
        <v>247721</v>
      </c>
    </row>
    <row r="146" spans="1:72" x14ac:dyDescent="0.25">
      <c r="A146" s="211" t="s">
        <v>259</v>
      </c>
      <c r="B146" s="244">
        <f>8.5*B17</f>
        <v>7879.5</v>
      </c>
      <c r="C146" s="244"/>
      <c r="D146" s="244"/>
      <c r="E146" s="244"/>
      <c r="F146" s="244"/>
      <c r="G146" s="244"/>
      <c r="H146" s="241">
        <f t="shared" si="287"/>
        <v>7879.5</v>
      </c>
      <c r="J146" s="244">
        <f>8.5*J17</f>
        <v>21369</v>
      </c>
      <c r="K146" s="244"/>
      <c r="L146" s="244"/>
      <c r="M146" s="244"/>
      <c r="N146" s="244"/>
      <c r="O146" s="244"/>
      <c r="P146" s="241">
        <f t="shared" si="288"/>
        <v>21369</v>
      </c>
      <c r="R146" s="244">
        <f>8.5*R17</f>
        <v>8755</v>
      </c>
      <c r="S146" s="244"/>
      <c r="T146" s="244"/>
      <c r="U146" s="244"/>
      <c r="V146" s="244"/>
      <c r="W146" s="244"/>
      <c r="X146" s="241">
        <f t="shared" si="289"/>
        <v>8755</v>
      </c>
      <c r="Z146" s="244">
        <f>8.5*Z17</f>
        <v>10183</v>
      </c>
      <c r="AA146" s="244"/>
      <c r="AB146" s="244"/>
      <c r="AC146" s="244"/>
      <c r="AD146" s="244"/>
      <c r="AE146" s="244"/>
      <c r="AF146" s="241">
        <f t="shared" si="290"/>
        <v>10183</v>
      </c>
      <c r="AH146" s="244">
        <f>8.5*AH17</f>
        <v>21590</v>
      </c>
      <c r="AI146" s="244"/>
      <c r="AJ146" s="244"/>
      <c r="AK146" s="244"/>
      <c r="AL146" s="244"/>
      <c r="AM146" s="244"/>
      <c r="AN146" s="241">
        <f t="shared" si="291"/>
        <v>21590</v>
      </c>
      <c r="AP146" s="244">
        <f>8.5*AP17</f>
        <v>6919</v>
      </c>
      <c r="AQ146" s="244"/>
      <c r="AR146" s="244"/>
      <c r="AS146" s="244"/>
      <c r="AT146" s="244"/>
      <c r="AU146" s="244"/>
      <c r="AV146" s="241">
        <f t="shared" si="292"/>
        <v>6919</v>
      </c>
      <c r="AX146" s="244">
        <v>0</v>
      </c>
      <c r="AY146" s="244"/>
      <c r="AZ146" s="244"/>
      <c r="BA146" s="244"/>
      <c r="BB146" s="244"/>
      <c r="BC146" s="244"/>
      <c r="BD146" s="241">
        <f t="shared" si="293"/>
        <v>0</v>
      </c>
      <c r="BF146" s="244">
        <f>8*BF17</f>
        <v>0</v>
      </c>
      <c r="BG146" s="244"/>
      <c r="BH146" s="244"/>
      <c r="BI146" s="244"/>
      <c r="BJ146" s="244"/>
      <c r="BK146" s="244"/>
      <c r="BL146" s="241">
        <f t="shared" si="294"/>
        <v>0</v>
      </c>
      <c r="BN146" s="241">
        <f t="shared" si="295"/>
        <v>76695.5</v>
      </c>
      <c r="BO146" s="241">
        <f t="shared" si="286"/>
        <v>0</v>
      </c>
      <c r="BP146" s="241">
        <f t="shared" si="286"/>
        <v>0</v>
      </c>
      <c r="BQ146" s="241">
        <f t="shared" si="286"/>
        <v>0</v>
      </c>
      <c r="BR146" s="241">
        <f t="shared" si="286"/>
        <v>0</v>
      </c>
      <c r="BS146" s="241">
        <f t="shared" si="286"/>
        <v>0</v>
      </c>
      <c r="BT146" s="241">
        <f t="shared" si="296"/>
        <v>76695.5</v>
      </c>
    </row>
    <row r="147" spans="1:72" x14ac:dyDescent="0.25">
      <c r="A147" s="211" t="s">
        <v>260</v>
      </c>
      <c r="B147" s="244"/>
      <c r="C147" s="244"/>
      <c r="D147" s="244"/>
      <c r="E147" s="244"/>
      <c r="F147" s="244"/>
      <c r="G147" s="244"/>
      <c r="H147" s="241">
        <f t="shared" si="287"/>
        <v>0</v>
      </c>
      <c r="J147" s="244">
        <v>140000</v>
      </c>
      <c r="K147" s="244"/>
      <c r="L147" s="244"/>
      <c r="M147" s="244"/>
      <c r="N147" s="244"/>
      <c r="O147" s="244"/>
      <c r="P147" s="241">
        <f t="shared" si="288"/>
        <v>140000</v>
      </c>
      <c r="R147" s="244"/>
      <c r="S147" s="244"/>
      <c r="T147" s="244"/>
      <c r="U147" s="244"/>
      <c r="V147" s="244"/>
      <c r="W147" s="244"/>
      <c r="X147" s="241">
        <f t="shared" si="289"/>
        <v>0</v>
      </c>
      <c r="Z147" s="244"/>
      <c r="AA147" s="244"/>
      <c r="AB147" s="244"/>
      <c r="AC147" s="244"/>
      <c r="AD147" s="244"/>
      <c r="AE147" s="244"/>
      <c r="AF147" s="241">
        <f t="shared" si="290"/>
        <v>0</v>
      </c>
      <c r="AH147" s="244">
        <v>160000</v>
      </c>
      <c r="AI147" s="244"/>
      <c r="AJ147" s="244"/>
      <c r="AK147" s="244"/>
      <c r="AL147" s="244"/>
      <c r="AM147" s="244"/>
      <c r="AN147" s="241">
        <f t="shared" si="291"/>
        <v>160000</v>
      </c>
      <c r="AP147" s="244"/>
      <c r="AQ147" s="244"/>
      <c r="AR147" s="244"/>
      <c r="AS147" s="244"/>
      <c r="AT147" s="244"/>
      <c r="AU147" s="244"/>
      <c r="AV147" s="241">
        <f t="shared" si="292"/>
        <v>0</v>
      </c>
      <c r="AX147" s="242"/>
      <c r="AY147" s="244"/>
      <c r="AZ147" s="244"/>
      <c r="BA147" s="244"/>
      <c r="BB147" s="244"/>
      <c r="BC147" s="244"/>
      <c r="BD147" s="241">
        <f t="shared" si="293"/>
        <v>0</v>
      </c>
      <c r="BF147" s="244"/>
      <c r="BG147" s="244"/>
      <c r="BH147" s="244"/>
      <c r="BI147" s="244"/>
      <c r="BJ147" s="244"/>
      <c r="BK147" s="244"/>
      <c r="BL147" s="241">
        <f t="shared" si="294"/>
        <v>0</v>
      </c>
      <c r="BN147" s="241">
        <f t="shared" si="295"/>
        <v>300000</v>
      </c>
      <c r="BO147" s="241">
        <f t="shared" si="286"/>
        <v>0</v>
      </c>
      <c r="BP147" s="241">
        <f t="shared" si="286"/>
        <v>0</v>
      </c>
      <c r="BQ147" s="241">
        <f t="shared" si="286"/>
        <v>0</v>
      </c>
      <c r="BR147" s="241">
        <f t="shared" si="286"/>
        <v>0</v>
      </c>
      <c r="BS147" s="241">
        <f t="shared" si="286"/>
        <v>0</v>
      </c>
      <c r="BT147" s="241">
        <f t="shared" si="296"/>
        <v>300000</v>
      </c>
    </row>
    <row r="148" spans="1:72" x14ac:dyDescent="0.25">
      <c r="A148" s="212" t="s">
        <v>261</v>
      </c>
      <c r="B148" s="245">
        <f>57*B17</f>
        <v>52839</v>
      </c>
      <c r="C148" s="245"/>
      <c r="D148" s="245"/>
      <c r="E148" s="245"/>
      <c r="F148" s="245"/>
      <c r="G148" s="245"/>
      <c r="H148" s="241">
        <f t="shared" si="287"/>
        <v>52839</v>
      </c>
      <c r="J148" s="245">
        <f>54*J17</f>
        <v>135756</v>
      </c>
      <c r="K148" s="245"/>
      <c r="L148" s="245"/>
      <c r="M148" s="245"/>
      <c r="N148" s="245"/>
      <c r="O148" s="245"/>
      <c r="P148" s="241">
        <f t="shared" si="288"/>
        <v>135756</v>
      </c>
      <c r="R148" s="245">
        <f>42*R17</f>
        <v>43260</v>
      </c>
      <c r="S148" s="245"/>
      <c r="T148" s="245"/>
      <c r="U148" s="245"/>
      <c r="V148" s="245"/>
      <c r="W148" s="245"/>
      <c r="X148" s="241">
        <f t="shared" si="289"/>
        <v>43260</v>
      </c>
      <c r="Z148" s="245">
        <f>42*Z17</f>
        <v>50316</v>
      </c>
      <c r="AA148" s="245"/>
      <c r="AB148" s="245"/>
      <c r="AC148" s="245"/>
      <c r="AD148" s="245"/>
      <c r="AE148" s="245"/>
      <c r="AF148" s="241">
        <f t="shared" si="290"/>
        <v>50316</v>
      </c>
      <c r="AH148" s="245">
        <f>72*AH17</f>
        <v>182880</v>
      </c>
      <c r="AI148" s="245"/>
      <c r="AJ148" s="245"/>
      <c r="AK148" s="245"/>
      <c r="AL148" s="245"/>
      <c r="AM148" s="245"/>
      <c r="AN148" s="241">
        <f t="shared" si="291"/>
        <v>182880</v>
      </c>
      <c r="AP148" s="245">
        <f>53*AP17</f>
        <v>43142</v>
      </c>
      <c r="AQ148" s="245"/>
      <c r="AR148" s="245"/>
      <c r="AS148" s="245"/>
      <c r="AT148" s="245"/>
      <c r="AU148" s="245"/>
      <c r="AV148" s="241">
        <f t="shared" si="292"/>
        <v>43142</v>
      </c>
      <c r="AX148" s="245">
        <v>0</v>
      </c>
      <c r="AY148" s="245"/>
      <c r="AZ148" s="245"/>
      <c r="BA148" s="245"/>
      <c r="BB148" s="245"/>
      <c r="BC148" s="245"/>
      <c r="BD148" s="241">
        <f t="shared" si="293"/>
        <v>0</v>
      </c>
      <c r="BF148" s="245">
        <f>50*BF17</f>
        <v>0</v>
      </c>
      <c r="BG148" s="245"/>
      <c r="BH148" s="245"/>
      <c r="BI148" s="245"/>
      <c r="BJ148" s="245"/>
      <c r="BK148" s="245"/>
      <c r="BL148" s="241">
        <f t="shared" si="294"/>
        <v>0</v>
      </c>
      <c r="BN148" s="241">
        <f t="shared" si="295"/>
        <v>508193</v>
      </c>
      <c r="BO148" s="241">
        <f t="shared" si="286"/>
        <v>0</v>
      </c>
      <c r="BP148" s="241">
        <f t="shared" si="286"/>
        <v>0</v>
      </c>
      <c r="BQ148" s="241">
        <f t="shared" si="286"/>
        <v>0</v>
      </c>
      <c r="BR148" s="241">
        <f t="shared" si="286"/>
        <v>0</v>
      </c>
      <c r="BS148" s="241">
        <f t="shared" si="286"/>
        <v>0</v>
      </c>
      <c r="BT148" s="241">
        <f t="shared" si="296"/>
        <v>508193</v>
      </c>
    </row>
    <row r="149" spans="1:72" x14ac:dyDescent="0.25">
      <c r="A149" s="213"/>
      <c r="B149" s="258">
        <f>SUM(B144:B148)</f>
        <v>115411.5</v>
      </c>
      <c r="C149" s="258">
        <f t="shared" ref="C149:H149" si="297">SUM(C144:C148)</f>
        <v>0</v>
      </c>
      <c r="D149" s="258">
        <f t="shared" si="297"/>
        <v>0</v>
      </c>
      <c r="E149" s="258">
        <f t="shared" si="297"/>
        <v>0</v>
      </c>
      <c r="F149" s="258">
        <f t="shared" si="297"/>
        <v>0</v>
      </c>
      <c r="G149" s="258">
        <f t="shared" si="297"/>
        <v>0</v>
      </c>
      <c r="H149" s="258">
        <f t="shared" si="297"/>
        <v>115411.5</v>
      </c>
      <c r="J149" s="258">
        <f>SUM(J144:J148)</f>
        <v>445451</v>
      </c>
      <c r="K149" s="258">
        <f t="shared" ref="K149:P149" si="298">SUM(K144:K148)</f>
        <v>0</v>
      </c>
      <c r="L149" s="258">
        <f t="shared" si="298"/>
        <v>0</v>
      </c>
      <c r="M149" s="258">
        <f t="shared" si="298"/>
        <v>0</v>
      </c>
      <c r="N149" s="258">
        <f t="shared" si="298"/>
        <v>0</v>
      </c>
      <c r="O149" s="258">
        <f t="shared" si="298"/>
        <v>0</v>
      </c>
      <c r="P149" s="258">
        <f t="shared" si="298"/>
        <v>445451</v>
      </c>
      <c r="R149" s="258">
        <f>SUM(R144:R148)</f>
        <v>112785</v>
      </c>
      <c r="S149" s="258">
        <f t="shared" ref="S149:X149" si="299">SUM(S144:S148)</f>
        <v>0</v>
      </c>
      <c r="T149" s="258">
        <f t="shared" si="299"/>
        <v>0</v>
      </c>
      <c r="U149" s="258">
        <f t="shared" si="299"/>
        <v>0</v>
      </c>
      <c r="V149" s="258">
        <f t="shared" si="299"/>
        <v>0</v>
      </c>
      <c r="W149" s="258">
        <f t="shared" si="299"/>
        <v>0</v>
      </c>
      <c r="X149" s="258">
        <f t="shared" si="299"/>
        <v>112785</v>
      </c>
      <c r="Z149" s="258">
        <f>SUM(Z144:Z148)</f>
        <v>131181</v>
      </c>
      <c r="AA149" s="258">
        <f t="shared" ref="AA149:AF149" si="300">SUM(AA144:AA148)</f>
        <v>0</v>
      </c>
      <c r="AB149" s="258">
        <f t="shared" si="300"/>
        <v>0</v>
      </c>
      <c r="AC149" s="258">
        <f t="shared" si="300"/>
        <v>0</v>
      </c>
      <c r="AD149" s="258">
        <f t="shared" si="300"/>
        <v>0</v>
      </c>
      <c r="AE149" s="258">
        <f t="shared" si="300"/>
        <v>0</v>
      </c>
      <c r="AF149" s="258">
        <f t="shared" si="300"/>
        <v>131181</v>
      </c>
      <c r="AH149" s="258">
        <f>SUM(AH144:AH148)</f>
        <v>514330</v>
      </c>
      <c r="AI149" s="258">
        <f t="shared" ref="AI149:AN149" si="301">SUM(AI144:AI148)</f>
        <v>0</v>
      </c>
      <c r="AJ149" s="258">
        <f t="shared" si="301"/>
        <v>0</v>
      </c>
      <c r="AK149" s="258">
        <f t="shared" si="301"/>
        <v>0</v>
      </c>
      <c r="AL149" s="258">
        <f t="shared" si="301"/>
        <v>0</v>
      </c>
      <c r="AM149" s="258">
        <f t="shared" si="301"/>
        <v>0</v>
      </c>
      <c r="AN149" s="258">
        <f t="shared" si="301"/>
        <v>514330</v>
      </c>
      <c r="AP149" s="258">
        <f>SUM(AP144:AP148)</f>
        <v>96459</v>
      </c>
      <c r="AQ149" s="258">
        <f t="shared" ref="AQ149:AV149" si="302">SUM(AQ144:AQ148)</f>
        <v>0</v>
      </c>
      <c r="AR149" s="258">
        <f t="shared" si="302"/>
        <v>0</v>
      </c>
      <c r="AS149" s="258">
        <f t="shared" si="302"/>
        <v>0</v>
      </c>
      <c r="AT149" s="258">
        <f t="shared" si="302"/>
        <v>0</v>
      </c>
      <c r="AU149" s="258">
        <f t="shared" si="302"/>
        <v>0</v>
      </c>
      <c r="AV149" s="258">
        <f t="shared" si="302"/>
        <v>96459</v>
      </c>
      <c r="AX149" s="258">
        <f>SUM(AX144:AX148)</f>
        <v>8918</v>
      </c>
      <c r="AY149" s="258">
        <f t="shared" ref="AY149:BD149" si="303">SUM(AY144:AY148)</f>
        <v>0</v>
      </c>
      <c r="AZ149" s="258">
        <f t="shared" si="303"/>
        <v>0</v>
      </c>
      <c r="BA149" s="258">
        <f t="shared" si="303"/>
        <v>0</v>
      </c>
      <c r="BB149" s="258">
        <f t="shared" si="303"/>
        <v>0</v>
      </c>
      <c r="BC149" s="258">
        <f t="shared" si="303"/>
        <v>0</v>
      </c>
      <c r="BD149" s="258">
        <f t="shared" si="303"/>
        <v>8918</v>
      </c>
      <c r="BF149" s="258">
        <f>SUM(BF144:BF148)</f>
        <v>0</v>
      </c>
      <c r="BG149" s="258">
        <f t="shared" ref="BG149:BL149" si="304">SUM(BG144:BG148)</f>
        <v>0</v>
      </c>
      <c r="BH149" s="258">
        <f t="shared" si="304"/>
        <v>0</v>
      </c>
      <c r="BI149" s="258">
        <f t="shared" si="304"/>
        <v>0</v>
      </c>
      <c r="BJ149" s="258">
        <f t="shared" si="304"/>
        <v>0</v>
      </c>
      <c r="BK149" s="258">
        <f t="shared" si="304"/>
        <v>0</v>
      </c>
      <c r="BL149" s="258">
        <f t="shared" si="304"/>
        <v>0</v>
      </c>
      <c r="BN149" s="258">
        <f>SUM(BN144:BN148)</f>
        <v>1424535.5</v>
      </c>
      <c r="BO149" s="258">
        <f t="shared" ref="BO149:BT149" si="305">SUM(BO144:BO148)</f>
        <v>0</v>
      </c>
      <c r="BP149" s="258">
        <f t="shared" si="305"/>
        <v>0</v>
      </c>
      <c r="BQ149" s="258">
        <f t="shared" si="305"/>
        <v>0</v>
      </c>
      <c r="BR149" s="258">
        <f t="shared" si="305"/>
        <v>0</v>
      </c>
      <c r="BS149" s="258">
        <f t="shared" si="305"/>
        <v>0</v>
      </c>
      <c r="BT149" s="258">
        <f t="shared" si="305"/>
        <v>1424535.5</v>
      </c>
    </row>
    <row r="150" spans="1:72" x14ac:dyDescent="0.25">
      <c r="B150" s="259"/>
      <c r="C150" s="259"/>
      <c r="D150" s="259"/>
      <c r="E150" s="259"/>
      <c r="F150" s="259"/>
      <c r="G150" s="259"/>
      <c r="H150" s="259"/>
      <c r="J150" s="259"/>
      <c r="K150" s="259"/>
      <c r="L150" s="259"/>
      <c r="M150" s="259"/>
      <c r="N150" s="259"/>
      <c r="O150" s="259"/>
      <c r="P150" s="259"/>
      <c r="R150" s="259"/>
      <c r="S150" s="259"/>
      <c r="T150" s="259"/>
      <c r="U150" s="259"/>
      <c r="V150" s="259"/>
      <c r="W150" s="259"/>
      <c r="X150" s="259"/>
      <c r="Z150" s="259"/>
      <c r="AA150" s="259"/>
      <c r="AB150" s="259"/>
      <c r="AC150" s="259"/>
      <c r="AD150" s="259"/>
      <c r="AE150" s="259"/>
      <c r="AF150" s="259"/>
      <c r="AH150" s="259"/>
      <c r="AI150" s="259"/>
      <c r="AJ150" s="259"/>
      <c r="AK150" s="259"/>
      <c r="AL150" s="259"/>
      <c r="AM150" s="259"/>
      <c r="AN150" s="259"/>
      <c r="AP150" s="259"/>
      <c r="AQ150" s="259"/>
      <c r="AR150" s="259"/>
      <c r="AS150" s="259"/>
      <c r="AT150" s="259"/>
      <c r="AU150" s="259"/>
      <c r="AV150" s="259"/>
      <c r="AX150" s="259"/>
      <c r="AY150" s="259"/>
      <c r="AZ150" s="259"/>
      <c r="BA150" s="259"/>
      <c r="BB150" s="259"/>
      <c r="BC150" s="259"/>
      <c r="BD150" s="259"/>
      <c r="BF150" s="259"/>
      <c r="BG150" s="259"/>
      <c r="BH150" s="259"/>
      <c r="BI150" s="259"/>
      <c r="BJ150" s="259"/>
      <c r="BK150" s="259"/>
      <c r="BL150" s="259"/>
      <c r="BN150" s="259"/>
      <c r="BO150" s="259"/>
      <c r="BP150" s="259"/>
      <c r="BQ150" s="259"/>
      <c r="BR150" s="259"/>
      <c r="BS150" s="259"/>
      <c r="BT150" s="259"/>
    </row>
    <row r="151" spans="1:72" x14ac:dyDescent="0.25">
      <c r="A151" s="208" t="s">
        <v>334</v>
      </c>
      <c r="B151" s="260" t="s">
        <v>309</v>
      </c>
      <c r="C151" s="260" t="s">
        <v>310</v>
      </c>
      <c r="D151" s="260" t="s">
        <v>311</v>
      </c>
      <c r="E151" s="260" t="str">
        <f>E134</f>
        <v>Other</v>
      </c>
      <c r="F151" s="260" t="s">
        <v>315</v>
      </c>
      <c r="G151" s="260" t="s">
        <v>314</v>
      </c>
      <c r="H151" s="260" t="str">
        <f>H143</f>
        <v>Horizon</v>
      </c>
      <c r="J151" s="260" t="s">
        <v>309</v>
      </c>
      <c r="K151" s="260" t="s">
        <v>310</v>
      </c>
      <c r="L151" s="260" t="s">
        <v>311</v>
      </c>
      <c r="M151" s="260" t="str">
        <f>M134</f>
        <v>Other</v>
      </c>
      <c r="N151" s="260" t="s">
        <v>315</v>
      </c>
      <c r="O151" s="260" t="s">
        <v>314</v>
      </c>
      <c r="P151" s="260" t="str">
        <f>P143</f>
        <v>Cadence</v>
      </c>
      <c r="R151" s="260" t="s">
        <v>309</v>
      </c>
      <c r="S151" s="260" t="s">
        <v>310</v>
      </c>
      <c r="T151" s="260" t="s">
        <v>311</v>
      </c>
      <c r="U151" s="260" t="str">
        <f>U134</f>
        <v>Other</v>
      </c>
      <c r="V151" s="260" t="s">
        <v>315</v>
      </c>
      <c r="W151" s="260" t="s">
        <v>314</v>
      </c>
      <c r="X151" s="260" t="str">
        <f>X143</f>
        <v>St. Rose</v>
      </c>
      <c r="Z151" s="260" t="s">
        <v>309</v>
      </c>
      <c r="AA151" s="260" t="s">
        <v>310</v>
      </c>
      <c r="AB151" s="260" t="s">
        <v>311</v>
      </c>
      <c r="AC151" s="260" t="str">
        <f>AC134</f>
        <v>Other</v>
      </c>
      <c r="AD151" s="260" t="s">
        <v>315</v>
      </c>
      <c r="AE151" s="260" t="s">
        <v>314</v>
      </c>
      <c r="AF151" s="260" t="str">
        <f>AF143</f>
        <v>Inspirada</v>
      </c>
      <c r="AH151" s="260" t="s">
        <v>309</v>
      </c>
      <c r="AI151" s="260" t="s">
        <v>310</v>
      </c>
      <c r="AJ151" s="260" t="s">
        <v>311</v>
      </c>
      <c r="AK151" s="260" t="str">
        <f>AK134</f>
        <v>Other</v>
      </c>
      <c r="AL151" s="260" t="s">
        <v>315</v>
      </c>
      <c r="AM151" s="260" t="s">
        <v>314</v>
      </c>
      <c r="AN151" s="260" t="str">
        <f>AN143</f>
        <v>Sloan</v>
      </c>
      <c r="AP151" s="260" t="s">
        <v>309</v>
      </c>
      <c r="AQ151" s="260" t="s">
        <v>310</v>
      </c>
      <c r="AR151" s="260" t="s">
        <v>311</v>
      </c>
      <c r="AS151" s="260" t="str">
        <f>AS134</f>
        <v>Other</v>
      </c>
      <c r="AT151" s="260" t="s">
        <v>315</v>
      </c>
      <c r="AU151" s="260" t="s">
        <v>314</v>
      </c>
      <c r="AV151" s="260" t="str">
        <f>AV143</f>
        <v>Springs</v>
      </c>
      <c r="AX151" s="260" t="s">
        <v>309</v>
      </c>
      <c r="AY151" s="260" t="s">
        <v>310</v>
      </c>
      <c r="AZ151" s="260" t="s">
        <v>311</v>
      </c>
      <c r="BA151" s="260" t="str">
        <f>BA134</f>
        <v>Other</v>
      </c>
      <c r="BB151" s="260" t="s">
        <v>315</v>
      </c>
      <c r="BC151" s="260" t="s">
        <v>314</v>
      </c>
      <c r="BD151" s="260" t="str">
        <f>BD143</f>
        <v>Virtual</v>
      </c>
      <c r="BF151" s="260" t="s">
        <v>309</v>
      </c>
      <c r="BG151" s="260" t="s">
        <v>310</v>
      </c>
      <c r="BH151" s="260" t="s">
        <v>311</v>
      </c>
      <c r="BI151" s="260" t="str">
        <f>BI134</f>
        <v>Other</v>
      </c>
      <c r="BJ151" s="260" t="s">
        <v>315</v>
      </c>
      <c r="BK151" s="260" t="s">
        <v>314</v>
      </c>
      <c r="BL151" s="260" t="str">
        <f>BL143</f>
        <v>Central</v>
      </c>
      <c r="BN151" s="260" t="s">
        <v>309</v>
      </c>
      <c r="BO151" s="260" t="s">
        <v>310</v>
      </c>
      <c r="BP151" s="260" t="s">
        <v>311</v>
      </c>
      <c r="BQ151" s="260" t="str">
        <f>BQ134</f>
        <v>Other</v>
      </c>
      <c r="BR151" s="260" t="s">
        <v>315</v>
      </c>
      <c r="BS151" s="260" t="s">
        <v>314</v>
      </c>
      <c r="BT151" s="260" t="str">
        <f>BT143</f>
        <v>System</v>
      </c>
    </row>
    <row r="152" spans="1:72" x14ac:dyDescent="0.25">
      <c r="A152" s="214" t="s">
        <v>262</v>
      </c>
      <c r="B152" s="257">
        <f>8500*1.03*1.02</f>
        <v>8930.1</v>
      </c>
      <c r="C152" s="257"/>
      <c r="D152" s="257"/>
      <c r="E152" s="257"/>
      <c r="F152" s="257"/>
      <c r="G152" s="257"/>
      <c r="H152" s="257">
        <f>SUM(B152:G152)</f>
        <v>8930.1</v>
      </c>
      <c r="J152" s="257">
        <f>((6500*3)+3000)*1.03*1.03</f>
        <v>23870.25</v>
      </c>
      <c r="K152" s="257"/>
      <c r="L152" s="257"/>
      <c r="M152" s="257"/>
      <c r="N152" s="257"/>
      <c r="O152" s="257"/>
      <c r="P152" s="257">
        <f>SUM(J152:O152)</f>
        <v>23870.25</v>
      </c>
      <c r="R152" s="257">
        <f>(6500*2)*1.03*1.02</f>
        <v>13657.800000000001</v>
      </c>
      <c r="S152" s="257"/>
      <c r="T152" s="257"/>
      <c r="U152" s="257"/>
      <c r="V152" s="257"/>
      <c r="W152" s="257"/>
      <c r="X152" s="257">
        <f>SUM(R152:W152)</f>
        <v>13657.800000000001</v>
      </c>
      <c r="Z152" s="257">
        <f>(6500*2)*1.03*1.02</f>
        <v>13657.800000000001</v>
      </c>
      <c r="AA152" s="257"/>
      <c r="AB152" s="257"/>
      <c r="AC152" s="257"/>
      <c r="AD152" s="257"/>
      <c r="AE152" s="257"/>
      <c r="AF152" s="257">
        <f>SUM(Z152:AE152)</f>
        <v>13657.800000000001</v>
      </c>
      <c r="AH152" s="257">
        <f>((6500*3)*1.03*1.03)+3000</f>
        <v>23687.55</v>
      </c>
      <c r="AI152" s="257"/>
      <c r="AJ152" s="257"/>
      <c r="AK152" s="257"/>
      <c r="AL152" s="257"/>
      <c r="AM152" s="257"/>
      <c r="AN152" s="257">
        <f>SUM(AH152:AM152)</f>
        <v>23687.55</v>
      </c>
      <c r="AP152" s="257">
        <f>6500*1.03</f>
        <v>6695</v>
      </c>
      <c r="AQ152" s="257"/>
      <c r="AR152" s="257"/>
      <c r="AS152" s="257"/>
      <c r="AT152" s="257"/>
      <c r="AU152" s="257"/>
      <c r="AV152" s="257">
        <f>SUM(AP152:AU152)</f>
        <v>6695</v>
      </c>
      <c r="AX152" s="257">
        <f>(6500*2)*1.03*1.03</f>
        <v>13791.7</v>
      </c>
      <c r="AY152" s="257"/>
      <c r="AZ152" s="257"/>
      <c r="BA152" s="257"/>
      <c r="BB152" s="257"/>
      <c r="BC152" s="257"/>
      <c r="BD152" s="257">
        <f>SUM(AX152:BC152)</f>
        <v>13791.7</v>
      </c>
      <c r="BF152" s="241"/>
      <c r="BG152" s="257"/>
      <c r="BH152" s="257"/>
      <c r="BI152" s="257"/>
      <c r="BJ152" s="257"/>
      <c r="BK152" s="257"/>
      <c r="BL152" s="257">
        <f>SUM(BF152:BK152)</f>
        <v>0</v>
      </c>
      <c r="BN152" s="241">
        <f>B152+J152+R152+Z152+AH152+AP152+AX152+BF152</f>
        <v>104290.2</v>
      </c>
      <c r="BO152" s="241">
        <f t="shared" ref="BO152:BS158" si="306">C152+K152+S152+AA152+AI152+AQ152+AY152+BG152</f>
        <v>0</v>
      </c>
      <c r="BP152" s="241">
        <f t="shared" si="306"/>
        <v>0</v>
      </c>
      <c r="BQ152" s="241">
        <f t="shared" si="306"/>
        <v>0</v>
      </c>
      <c r="BR152" s="241">
        <f t="shared" si="306"/>
        <v>0</v>
      </c>
      <c r="BS152" s="241">
        <f t="shared" si="306"/>
        <v>0</v>
      </c>
      <c r="BT152" s="257">
        <f>SUM(BN152:BS152)</f>
        <v>104290.2</v>
      </c>
    </row>
    <row r="153" spans="1:72" x14ac:dyDescent="0.25">
      <c r="A153" s="211" t="s">
        <v>263</v>
      </c>
      <c r="B153" s="244"/>
      <c r="C153" s="244">
        <f>(465*B17)</f>
        <v>431055</v>
      </c>
      <c r="D153" s="244"/>
      <c r="E153" s="244"/>
      <c r="F153" s="244"/>
      <c r="G153" s="244"/>
      <c r="H153" s="257">
        <f t="shared" ref="H153:H158" si="307">SUM(B153:G153)</f>
        <v>431055</v>
      </c>
      <c r="J153" s="244"/>
      <c r="K153" s="244">
        <f>(165*J17)</f>
        <v>414810</v>
      </c>
      <c r="L153" s="244"/>
      <c r="M153" s="244"/>
      <c r="N153" s="244"/>
      <c r="O153" s="244"/>
      <c r="P153" s="257">
        <f t="shared" ref="P153:P158" si="308">SUM(J153:O153)</f>
        <v>414810</v>
      </c>
      <c r="R153" s="244"/>
      <c r="S153" s="244">
        <f>(185*R17)</f>
        <v>190550</v>
      </c>
      <c r="T153" s="244"/>
      <c r="U153" s="244"/>
      <c r="V153" s="244"/>
      <c r="W153" s="244"/>
      <c r="X153" s="257">
        <f t="shared" ref="X153:X158" si="309">SUM(R153:W153)</f>
        <v>190550</v>
      </c>
      <c r="Z153" s="244"/>
      <c r="AA153" s="244">
        <f>(95*Z17)</f>
        <v>113810</v>
      </c>
      <c r="AB153" s="244"/>
      <c r="AC153" s="244"/>
      <c r="AD153" s="244"/>
      <c r="AE153" s="244"/>
      <c r="AF153" s="257">
        <f t="shared" ref="AF153:AF158" si="310">SUM(Z153:AE153)</f>
        <v>113810</v>
      </c>
      <c r="AH153" s="244"/>
      <c r="AI153" s="244">
        <f>(185*AH17)</f>
        <v>469900</v>
      </c>
      <c r="AJ153" s="244"/>
      <c r="AK153" s="244"/>
      <c r="AL153" s="244"/>
      <c r="AM153" s="244"/>
      <c r="AN153" s="257">
        <f t="shared" ref="AN153:AN158" si="311">SUM(AH153:AM153)</f>
        <v>469900</v>
      </c>
      <c r="AP153" s="244"/>
      <c r="AQ153" s="280">
        <f>(405*AP17)</f>
        <v>329670</v>
      </c>
      <c r="AR153" s="244"/>
      <c r="AS153" s="244"/>
      <c r="AT153" s="244"/>
      <c r="AU153" s="244"/>
      <c r="AV153" s="257">
        <f t="shared" ref="AV153:AV158" si="312">SUM(AP153:AU153)</f>
        <v>329670</v>
      </c>
      <c r="AX153" s="244"/>
      <c r="AY153" s="280">
        <f>(285*AX17)</f>
        <v>51870</v>
      </c>
      <c r="AZ153" s="244"/>
      <c r="BA153" s="244"/>
      <c r="BB153" s="244"/>
      <c r="BC153" s="244"/>
      <c r="BD153" s="257">
        <f t="shared" ref="BD153:BD158" si="313">SUM(AX153:BC153)</f>
        <v>51870</v>
      </c>
      <c r="BF153" s="244"/>
      <c r="BG153" s="244"/>
      <c r="BH153" s="244"/>
      <c r="BI153" s="244"/>
      <c r="BJ153" s="244"/>
      <c r="BK153" s="244"/>
      <c r="BL153" s="257">
        <f t="shared" ref="BL153:BL158" si="314">SUM(BF153:BK153)</f>
        <v>0</v>
      </c>
      <c r="BN153" s="241">
        <f t="shared" ref="BN153:BN158" si="315">B153+J153+R153+Z153+AH153+AP153+AX153+BF153</f>
        <v>0</v>
      </c>
      <c r="BO153" s="241">
        <f t="shared" si="306"/>
        <v>2001665</v>
      </c>
      <c r="BP153" s="241">
        <f t="shared" si="306"/>
        <v>0</v>
      </c>
      <c r="BQ153" s="241">
        <f t="shared" si="306"/>
        <v>0</v>
      </c>
      <c r="BR153" s="241">
        <f t="shared" si="306"/>
        <v>0</v>
      </c>
      <c r="BS153" s="241">
        <f t="shared" si="306"/>
        <v>0</v>
      </c>
      <c r="BT153" s="257">
        <f t="shared" ref="BT153:BT158" si="316">SUM(BN153:BS153)</f>
        <v>2001665</v>
      </c>
    </row>
    <row r="154" spans="1:72" x14ac:dyDescent="0.25">
      <c r="A154" s="211" t="s">
        <v>325</v>
      </c>
      <c r="B154" s="244">
        <f>(215*11*B36)-B124</f>
        <v>66030</v>
      </c>
      <c r="C154" s="244">
        <f>(215*11*C36)-C124</f>
        <v>11825</v>
      </c>
      <c r="D154" s="244">
        <f>(195*11*D36)-D124</f>
        <v>0</v>
      </c>
      <c r="E154" s="244">
        <f>(195*11*E36)-E124</f>
        <v>0</v>
      </c>
      <c r="F154" s="244">
        <f>(195*11*F34)-F124</f>
        <v>0</v>
      </c>
      <c r="G154" s="244">
        <f>(195*11*G34)-G124</f>
        <v>0</v>
      </c>
      <c r="H154" s="257">
        <f t="shared" si="307"/>
        <v>77855</v>
      </c>
      <c r="J154" s="244">
        <f>(220*11*J36)-J124</f>
        <v>144520</v>
      </c>
      <c r="K154" s="244">
        <f>(220*11*K36)-K124</f>
        <v>31460</v>
      </c>
      <c r="L154" s="244">
        <f>(195*11*L36)-L124</f>
        <v>0</v>
      </c>
      <c r="M154" s="244">
        <f>(195*11*M36)-M124</f>
        <v>0</v>
      </c>
      <c r="N154" s="244">
        <f>(195*11*N34)-N124</f>
        <v>0</v>
      </c>
      <c r="O154" s="244">
        <f>(195*11*O34)-O124</f>
        <v>0</v>
      </c>
      <c r="P154" s="257">
        <f t="shared" si="308"/>
        <v>175980</v>
      </c>
      <c r="R154" s="244">
        <f>(220*11*R36)-R124</f>
        <v>73180</v>
      </c>
      <c r="S154" s="244">
        <f>(220*11*S36)-S124</f>
        <v>9680</v>
      </c>
      <c r="T154" s="244">
        <f>(195*11*T36)-T124</f>
        <v>0</v>
      </c>
      <c r="U154" s="244">
        <f>(195*11*U36)-U124</f>
        <v>0</v>
      </c>
      <c r="V154" s="244">
        <f>(195*11*V34)-V124</f>
        <v>0</v>
      </c>
      <c r="W154" s="244">
        <f>(195*11*W34)-W124</f>
        <v>0</v>
      </c>
      <c r="X154" s="257">
        <f t="shared" si="309"/>
        <v>82860</v>
      </c>
      <c r="Z154" s="244">
        <f>(220*11*Z36)-Z124</f>
        <v>68920</v>
      </c>
      <c r="AA154" s="244">
        <f>(220*11*AA36)-AA124</f>
        <v>12100</v>
      </c>
      <c r="AB154" s="244">
        <f>(195*11*AB36)-AB124</f>
        <v>0</v>
      </c>
      <c r="AC154" s="244">
        <f>(195*11*AC36)-AC124</f>
        <v>0</v>
      </c>
      <c r="AD154" s="244">
        <f>(195*11*AD34)-AD124</f>
        <v>0</v>
      </c>
      <c r="AE154" s="244">
        <f>(195*11*AE34)-AE124</f>
        <v>0</v>
      </c>
      <c r="AF154" s="257">
        <f t="shared" si="310"/>
        <v>81020</v>
      </c>
      <c r="AH154" s="244">
        <f>(220*11*AH36)-AH124</f>
        <v>116060</v>
      </c>
      <c r="AI154" s="244">
        <f>(220*11*AI36)-AI124</f>
        <v>31460</v>
      </c>
      <c r="AJ154" s="244">
        <f>(195*11*AJ36)-AJ124</f>
        <v>0</v>
      </c>
      <c r="AK154" s="244">
        <f>(195*11*AK36)-AK124</f>
        <v>0</v>
      </c>
      <c r="AL154" s="244">
        <f>(195*11*AL34)-AL124</f>
        <v>0</v>
      </c>
      <c r="AM154" s="244">
        <f>(195*11*AM34)-AM124</f>
        <v>0</v>
      </c>
      <c r="AN154" s="257">
        <f t="shared" si="311"/>
        <v>147520</v>
      </c>
      <c r="AP154" s="244">
        <f>(220*11*AP36)-AP124</f>
        <v>84700</v>
      </c>
      <c r="AQ154" s="244">
        <f>(220*11*AQ36)-AQ124</f>
        <v>8470</v>
      </c>
      <c r="AR154" s="244">
        <f>(195*11*AR36)-AR124</f>
        <v>0</v>
      </c>
      <c r="AS154" s="244">
        <f>(195*11*AS36)-AS124</f>
        <v>0</v>
      </c>
      <c r="AT154" s="244">
        <f>(195*11*AT34)-AT124</f>
        <v>0</v>
      </c>
      <c r="AU154" s="244">
        <f>(195*11*AU34)-AU124</f>
        <v>0</v>
      </c>
      <c r="AV154" s="257">
        <f t="shared" si="312"/>
        <v>93170</v>
      </c>
      <c r="AX154" s="244">
        <f>(215*11*AX36)-AX124</f>
        <v>0</v>
      </c>
      <c r="AY154" s="244">
        <f>(220*11*AY36)-AY124</f>
        <v>2420</v>
      </c>
      <c r="AZ154" s="244">
        <f>(195*11*AZ36)-AZ124</f>
        <v>0</v>
      </c>
      <c r="BA154" s="244">
        <f>(195*11*BA36)-BA124</f>
        <v>0</v>
      </c>
      <c r="BB154" s="244">
        <f>(195*11*BB34)-BB124</f>
        <v>0</v>
      </c>
      <c r="BC154" s="244">
        <f>(195*11*BC34)-BC124</f>
        <v>0</v>
      </c>
      <c r="BD154" s="257">
        <f t="shared" si="313"/>
        <v>2420</v>
      </c>
      <c r="BF154" s="244"/>
      <c r="BG154" s="244"/>
      <c r="BH154" s="244"/>
      <c r="BI154" s="244"/>
      <c r="BJ154" s="244"/>
      <c r="BK154" s="244"/>
      <c r="BL154" s="257">
        <f t="shared" si="314"/>
        <v>0</v>
      </c>
      <c r="BN154" s="241">
        <f t="shared" si="315"/>
        <v>553410</v>
      </c>
      <c r="BO154" s="241">
        <f t="shared" si="306"/>
        <v>107415</v>
      </c>
      <c r="BP154" s="241">
        <f t="shared" si="306"/>
        <v>0</v>
      </c>
      <c r="BQ154" s="241">
        <f t="shared" si="306"/>
        <v>0</v>
      </c>
      <c r="BR154" s="241">
        <f t="shared" si="306"/>
        <v>0</v>
      </c>
      <c r="BS154" s="241">
        <f t="shared" si="306"/>
        <v>0</v>
      </c>
      <c r="BT154" s="257">
        <f t="shared" si="316"/>
        <v>660825</v>
      </c>
    </row>
    <row r="155" spans="1:72" x14ac:dyDescent="0.25">
      <c r="A155" s="211" t="s">
        <v>264</v>
      </c>
      <c r="B155" s="244"/>
      <c r="C155" s="244"/>
      <c r="D155" s="244"/>
      <c r="E155" s="244"/>
      <c r="F155" s="244"/>
      <c r="G155" s="244"/>
      <c r="H155" s="257">
        <f t="shared" si="307"/>
        <v>0</v>
      </c>
      <c r="J155" s="244"/>
      <c r="K155" s="244"/>
      <c r="L155" s="244"/>
      <c r="M155" s="244"/>
      <c r="N155" s="244"/>
      <c r="O155" s="244"/>
      <c r="P155" s="257">
        <f t="shared" si="308"/>
        <v>0</v>
      </c>
      <c r="R155" s="244"/>
      <c r="S155" s="244"/>
      <c r="T155" s="244"/>
      <c r="U155" s="244"/>
      <c r="V155" s="244"/>
      <c r="W155" s="244"/>
      <c r="X155" s="257">
        <f t="shared" si="309"/>
        <v>0</v>
      </c>
      <c r="Z155" s="244"/>
      <c r="AA155" s="244"/>
      <c r="AB155" s="244"/>
      <c r="AC155" s="244"/>
      <c r="AD155" s="244"/>
      <c r="AE155" s="244"/>
      <c r="AF155" s="257">
        <f t="shared" si="310"/>
        <v>0</v>
      </c>
      <c r="AH155" s="244"/>
      <c r="AI155" s="244"/>
      <c r="AJ155" s="244"/>
      <c r="AK155" s="244"/>
      <c r="AL155" s="244"/>
      <c r="AM155" s="244"/>
      <c r="AN155" s="257">
        <f t="shared" si="311"/>
        <v>0</v>
      </c>
      <c r="AP155" s="244"/>
      <c r="AQ155" s="244"/>
      <c r="AR155" s="244"/>
      <c r="AS155" s="244"/>
      <c r="AT155" s="244"/>
      <c r="AU155" s="244"/>
      <c r="AV155" s="257">
        <f t="shared" si="312"/>
        <v>0</v>
      </c>
      <c r="AX155" s="244">
        <f>(135*12)*AX17</f>
        <v>294840</v>
      </c>
      <c r="AY155" s="244"/>
      <c r="AZ155" s="244"/>
      <c r="BA155" s="244"/>
      <c r="BB155" s="244"/>
      <c r="BC155" s="244"/>
      <c r="BD155" s="257">
        <f t="shared" si="313"/>
        <v>294840</v>
      </c>
      <c r="BF155" s="244"/>
      <c r="BG155" s="244"/>
      <c r="BH155" s="244"/>
      <c r="BI155" s="244"/>
      <c r="BJ155" s="244"/>
      <c r="BK155" s="244"/>
      <c r="BL155" s="257">
        <f t="shared" si="314"/>
        <v>0</v>
      </c>
      <c r="BN155" s="241">
        <f t="shared" si="315"/>
        <v>294840</v>
      </c>
      <c r="BO155" s="241">
        <f t="shared" si="306"/>
        <v>0</v>
      </c>
      <c r="BP155" s="241">
        <f t="shared" si="306"/>
        <v>0</v>
      </c>
      <c r="BQ155" s="241">
        <f t="shared" si="306"/>
        <v>0</v>
      </c>
      <c r="BR155" s="241">
        <f t="shared" si="306"/>
        <v>0</v>
      </c>
      <c r="BS155" s="241">
        <f t="shared" si="306"/>
        <v>0</v>
      </c>
      <c r="BT155" s="257">
        <f t="shared" si="316"/>
        <v>294840</v>
      </c>
    </row>
    <row r="156" spans="1:72" x14ac:dyDescent="0.25">
      <c r="A156" s="211" t="s">
        <v>265</v>
      </c>
      <c r="B156" s="244">
        <f>B68*0.005</f>
        <v>44635.05</v>
      </c>
      <c r="C156" s="244"/>
      <c r="D156" s="244"/>
      <c r="E156" s="244"/>
      <c r="F156" s="244"/>
      <c r="G156" s="244"/>
      <c r="H156" s="257">
        <f t="shared" si="307"/>
        <v>44635.05</v>
      </c>
      <c r="J156" s="244">
        <f>J68*0.005</f>
        <v>121049.1</v>
      </c>
      <c r="K156" s="244"/>
      <c r="L156" s="244"/>
      <c r="M156" s="244"/>
      <c r="N156" s="244"/>
      <c r="O156" s="244"/>
      <c r="P156" s="257">
        <f t="shared" si="308"/>
        <v>121049.1</v>
      </c>
      <c r="R156" s="244">
        <f>R68*0.005</f>
        <v>49594.5</v>
      </c>
      <c r="S156" s="244"/>
      <c r="T156" s="244"/>
      <c r="U156" s="244"/>
      <c r="V156" s="244"/>
      <c r="W156" s="244"/>
      <c r="X156" s="257">
        <f t="shared" si="309"/>
        <v>49594.5</v>
      </c>
      <c r="Z156" s="244">
        <f>Z68*0.005</f>
        <v>57683.700000000004</v>
      </c>
      <c r="AA156" s="244"/>
      <c r="AB156" s="244"/>
      <c r="AC156" s="244"/>
      <c r="AD156" s="244"/>
      <c r="AE156" s="244"/>
      <c r="AF156" s="257">
        <f t="shared" si="310"/>
        <v>57683.700000000004</v>
      </c>
      <c r="AH156" s="244">
        <f>AH68*0.005</f>
        <v>122301</v>
      </c>
      <c r="AI156" s="244"/>
      <c r="AJ156" s="244"/>
      <c r="AK156" s="244"/>
      <c r="AL156" s="244"/>
      <c r="AM156" s="244"/>
      <c r="AN156" s="257">
        <f t="shared" si="311"/>
        <v>122301</v>
      </c>
      <c r="AP156" s="244">
        <f>AP68*0.005</f>
        <v>39194.1</v>
      </c>
      <c r="AQ156" s="244"/>
      <c r="AR156" s="244"/>
      <c r="AS156" s="244"/>
      <c r="AT156" s="244"/>
      <c r="AU156" s="244"/>
      <c r="AV156" s="257">
        <f t="shared" si="312"/>
        <v>39194.1</v>
      </c>
      <c r="AX156" s="244">
        <f>AX68*0.005</f>
        <v>8763.3000000000011</v>
      </c>
      <c r="AY156" s="244"/>
      <c r="AZ156" s="244"/>
      <c r="BA156" s="244"/>
      <c r="BB156" s="244"/>
      <c r="BC156" s="244"/>
      <c r="BD156" s="257">
        <f t="shared" si="313"/>
        <v>8763.3000000000011</v>
      </c>
      <c r="BF156" s="244"/>
      <c r="BG156" s="244"/>
      <c r="BH156" s="244"/>
      <c r="BI156" s="244"/>
      <c r="BJ156" s="244"/>
      <c r="BK156" s="244"/>
      <c r="BL156" s="257">
        <f t="shared" si="314"/>
        <v>0</v>
      </c>
      <c r="BN156" s="241">
        <f t="shared" si="315"/>
        <v>443220.75</v>
      </c>
      <c r="BO156" s="241">
        <f t="shared" si="306"/>
        <v>0</v>
      </c>
      <c r="BP156" s="241">
        <f t="shared" si="306"/>
        <v>0</v>
      </c>
      <c r="BQ156" s="241">
        <f t="shared" si="306"/>
        <v>0</v>
      </c>
      <c r="BR156" s="241">
        <f t="shared" si="306"/>
        <v>0</v>
      </c>
      <c r="BS156" s="241">
        <f t="shared" si="306"/>
        <v>0</v>
      </c>
      <c r="BT156" s="257">
        <f t="shared" si="316"/>
        <v>443220.75</v>
      </c>
    </row>
    <row r="157" spans="1:72" x14ac:dyDescent="0.25">
      <c r="A157" s="211" t="s">
        <v>266</v>
      </c>
      <c r="B157" s="244">
        <f>(B68*0.005)</f>
        <v>44635.05</v>
      </c>
      <c r="C157" s="244"/>
      <c r="D157" s="244"/>
      <c r="E157" s="244"/>
      <c r="F157" s="244"/>
      <c r="G157" s="244"/>
      <c r="H157" s="257">
        <f t="shared" si="307"/>
        <v>44635.05</v>
      </c>
      <c r="J157" s="244">
        <f>(J68*0.005)</f>
        <v>121049.1</v>
      </c>
      <c r="K157" s="244"/>
      <c r="L157" s="244"/>
      <c r="M157" s="244"/>
      <c r="N157" s="244"/>
      <c r="O157" s="244"/>
      <c r="P157" s="257">
        <f t="shared" si="308"/>
        <v>121049.1</v>
      </c>
      <c r="R157" s="244">
        <f>(R68*0.005)</f>
        <v>49594.5</v>
      </c>
      <c r="S157" s="244"/>
      <c r="T157" s="244"/>
      <c r="U157" s="244"/>
      <c r="V157" s="244"/>
      <c r="W157" s="244"/>
      <c r="X157" s="257">
        <f t="shared" si="309"/>
        <v>49594.5</v>
      </c>
      <c r="Z157" s="244">
        <f>(Z68*0.005)</f>
        <v>57683.700000000004</v>
      </c>
      <c r="AA157" s="244"/>
      <c r="AB157" s="244"/>
      <c r="AC157" s="244"/>
      <c r="AD157" s="244"/>
      <c r="AE157" s="244"/>
      <c r="AF157" s="257">
        <f t="shared" si="310"/>
        <v>57683.700000000004</v>
      </c>
      <c r="AH157" s="244">
        <f>(AH68*0.005)</f>
        <v>122301</v>
      </c>
      <c r="AI157" s="244"/>
      <c r="AJ157" s="244"/>
      <c r="AK157" s="244"/>
      <c r="AL157" s="244"/>
      <c r="AM157" s="244"/>
      <c r="AN157" s="257">
        <f t="shared" si="311"/>
        <v>122301</v>
      </c>
      <c r="AP157" s="244">
        <f>(AP68*0.005)</f>
        <v>39194.1</v>
      </c>
      <c r="AQ157" s="244"/>
      <c r="AR157" s="244"/>
      <c r="AS157" s="244"/>
      <c r="AT157" s="244"/>
      <c r="AU157" s="244"/>
      <c r="AV157" s="257">
        <f t="shared" si="312"/>
        <v>39194.1</v>
      </c>
      <c r="AX157" s="244">
        <f>(AX68*0.005)</f>
        <v>8763.3000000000011</v>
      </c>
      <c r="AY157" s="244"/>
      <c r="AZ157" s="244"/>
      <c r="BA157" s="244"/>
      <c r="BB157" s="244"/>
      <c r="BC157" s="244"/>
      <c r="BD157" s="257">
        <f t="shared" si="313"/>
        <v>8763.3000000000011</v>
      </c>
      <c r="BF157" s="244"/>
      <c r="BG157" s="244"/>
      <c r="BH157" s="244"/>
      <c r="BI157" s="244"/>
      <c r="BJ157" s="244"/>
      <c r="BK157" s="244"/>
      <c r="BL157" s="257">
        <f t="shared" si="314"/>
        <v>0</v>
      </c>
      <c r="BN157" s="241">
        <f t="shared" si="315"/>
        <v>443220.75</v>
      </c>
      <c r="BO157" s="241">
        <f t="shared" si="306"/>
        <v>0</v>
      </c>
      <c r="BP157" s="241">
        <f t="shared" si="306"/>
        <v>0</v>
      </c>
      <c r="BQ157" s="241">
        <f t="shared" si="306"/>
        <v>0</v>
      </c>
      <c r="BR157" s="241">
        <f t="shared" si="306"/>
        <v>0</v>
      </c>
      <c r="BS157" s="241">
        <f t="shared" si="306"/>
        <v>0</v>
      </c>
      <c r="BT157" s="257">
        <f t="shared" si="316"/>
        <v>443220.75</v>
      </c>
    </row>
    <row r="158" spans="1:72" x14ac:dyDescent="0.25">
      <c r="A158" s="212" t="s">
        <v>267</v>
      </c>
      <c r="B158" s="245"/>
      <c r="C158" s="245"/>
      <c r="D158" s="245"/>
      <c r="E158" s="245"/>
      <c r="F158" s="245"/>
      <c r="G158" s="245"/>
      <c r="H158" s="257">
        <f t="shared" si="307"/>
        <v>0</v>
      </c>
      <c r="J158" s="245"/>
      <c r="K158" s="245"/>
      <c r="L158" s="245"/>
      <c r="M158" s="245"/>
      <c r="N158" s="245"/>
      <c r="O158" s="245"/>
      <c r="P158" s="257">
        <f t="shared" si="308"/>
        <v>0</v>
      </c>
      <c r="R158" s="245"/>
      <c r="S158" s="245"/>
      <c r="T158" s="245"/>
      <c r="U158" s="245"/>
      <c r="V158" s="245"/>
      <c r="W158" s="245"/>
      <c r="X158" s="257">
        <f t="shared" si="309"/>
        <v>0</v>
      </c>
      <c r="Z158" s="245"/>
      <c r="AA158" s="245"/>
      <c r="AB158" s="245"/>
      <c r="AC158" s="245"/>
      <c r="AD158" s="245"/>
      <c r="AE158" s="245"/>
      <c r="AF158" s="257">
        <f t="shared" si="310"/>
        <v>0</v>
      </c>
      <c r="AH158" s="245"/>
      <c r="AI158" s="245"/>
      <c r="AJ158" s="245"/>
      <c r="AK158" s="245"/>
      <c r="AL158" s="245"/>
      <c r="AM158" s="245"/>
      <c r="AN158" s="257">
        <f t="shared" si="311"/>
        <v>0</v>
      </c>
      <c r="AP158" s="245"/>
      <c r="AQ158" s="245"/>
      <c r="AR158" s="245"/>
      <c r="AS158" s="245"/>
      <c r="AT158" s="245"/>
      <c r="AU158" s="245"/>
      <c r="AV158" s="257">
        <f t="shared" si="312"/>
        <v>0</v>
      </c>
      <c r="AX158" s="245"/>
      <c r="AY158" s="245"/>
      <c r="AZ158" s="245"/>
      <c r="BA158" s="245"/>
      <c r="BB158" s="245"/>
      <c r="BC158" s="245"/>
      <c r="BD158" s="257">
        <f t="shared" si="313"/>
        <v>0</v>
      </c>
      <c r="BF158" s="245"/>
      <c r="BG158" s="245"/>
      <c r="BH158" s="245"/>
      <c r="BI158" s="245"/>
      <c r="BJ158" s="245"/>
      <c r="BK158" s="245"/>
      <c r="BL158" s="257">
        <f t="shared" si="314"/>
        <v>0</v>
      </c>
      <c r="BN158" s="241">
        <f t="shared" si="315"/>
        <v>0</v>
      </c>
      <c r="BO158" s="241">
        <f t="shared" si="306"/>
        <v>0</v>
      </c>
      <c r="BP158" s="241">
        <f t="shared" si="306"/>
        <v>0</v>
      </c>
      <c r="BQ158" s="241">
        <f t="shared" si="306"/>
        <v>0</v>
      </c>
      <c r="BR158" s="241">
        <f t="shared" si="306"/>
        <v>0</v>
      </c>
      <c r="BS158" s="241">
        <f t="shared" si="306"/>
        <v>0</v>
      </c>
      <c r="BT158" s="257">
        <f t="shared" si="316"/>
        <v>0</v>
      </c>
    </row>
    <row r="159" spans="1:72" x14ac:dyDescent="0.25">
      <c r="A159" s="213"/>
      <c r="B159" s="258">
        <f>SUM(B152:B158)</f>
        <v>164230.20000000001</v>
      </c>
      <c r="C159" s="258">
        <f t="shared" ref="C159:G159" si="317">SUM(C152:C158)</f>
        <v>442880</v>
      </c>
      <c r="D159" s="258">
        <f t="shared" si="317"/>
        <v>0</v>
      </c>
      <c r="E159" s="258">
        <f t="shared" si="317"/>
        <v>0</v>
      </c>
      <c r="F159" s="258">
        <f t="shared" si="317"/>
        <v>0</v>
      </c>
      <c r="G159" s="258">
        <f t="shared" si="317"/>
        <v>0</v>
      </c>
      <c r="H159" s="258">
        <f>SUM(H152:H158)</f>
        <v>607110.20000000007</v>
      </c>
      <c r="J159" s="258">
        <f>SUM(J152:J158)</f>
        <v>410488.44999999995</v>
      </c>
      <c r="K159" s="258">
        <f t="shared" ref="K159:O159" si="318">SUM(K152:K158)</f>
        <v>446270</v>
      </c>
      <c r="L159" s="258">
        <f t="shared" si="318"/>
        <v>0</v>
      </c>
      <c r="M159" s="258">
        <f t="shared" si="318"/>
        <v>0</v>
      </c>
      <c r="N159" s="258">
        <f t="shared" si="318"/>
        <v>0</v>
      </c>
      <c r="O159" s="258">
        <f t="shared" si="318"/>
        <v>0</v>
      </c>
      <c r="P159" s="258">
        <f>SUM(P152:P158)</f>
        <v>856758.45</v>
      </c>
      <c r="R159" s="258">
        <f>SUM(R152:R158)</f>
        <v>186026.8</v>
      </c>
      <c r="S159" s="258">
        <f t="shared" ref="S159:W159" si="319">SUM(S152:S158)</f>
        <v>200230</v>
      </c>
      <c r="T159" s="258">
        <f t="shared" si="319"/>
        <v>0</v>
      </c>
      <c r="U159" s="258">
        <f t="shared" si="319"/>
        <v>0</v>
      </c>
      <c r="V159" s="258">
        <f t="shared" si="319"/>
        <v>0</v>
      </c>
      <c r="W159" s="258">
        <f t="shared" si="319"/>
        <v>0</v>
      </c>
      <c r="X159" s="258">
        <f>SUM(X152:X158)</f>
        <v>386256.8</v>
      </c>
      <c r="Z159" s="258">
        <f>SUM(Z152:Z158)</f>
        <v>197945.2</v>
      </c>
      <c r="AA159" s="258">
        <f t="shared" ref="AA159:AE159" si="320">SUM(AA152:AA158)</f>
        <v>125910</v>
      </c>
      <c r="AB159" s="258">
        <f t="shared" si="320"/>
        <v>0</v>
      </c>
      <c r="AC159" s="258">
        <f t="shared" si="320"/>
        <v>0</v>
      </c>
      <c r="AD159" s="258">
        <f t="shared" si="320"/>
        <v>0</v>
      </c>
      <c r="AE159" s="258">
        <f t="shared" si="320"/>
        <v>0</v>
      </c>
      <c r="AF159" s="258">
        <f>SUM(AF152:AF158)</f>
        <v>323855.2</v>
      </c>
      <c r="AH159" s="258">
        <f>SUM(AH152:AH158)</f>
        <v>384349.55</v>
      </c>
      <c r="AI159" s="258">
        <f t="shared" ref="AI159:AM159" si="321">SUM(AI152:AI158)</f>
        <v>501360</v>
      </c>
      <c r="AJ159" s="258">
        <f t="shared" si="321"/>
        <v>0</v>
      </c>
      <c r="AK159" s="258">
        <f t="shared" si="321"/>
        <v>0</v>
      </c>
      <c r="AL159" s="258">
        <f t="shared" si="321"/>
        <v>0</v>
      </c>
      <c r="AM159" s="258">
        <f t="shared" si="321"/>
        <v>0</v>
      </c>
      <c r="AN159" s="258">
        <f>SUM(AN152:AN158)</f>
        <v>885709.55</v>
      </c>
      <c r="AP159" s="258">
        <f>SUM(AP152:AP158)</f>
        <v>169783.2</v>
      </c>
      <c r="AQ159" s="258">
        <f t="shared" ref="AQ159:AU159" si="322">SUM(AQ152:AQ158)</f>
        <v>338140</v>
      </c>
      <c r="AR159" s="258">
        <f t="shared" si="322"/>
        <v>0</v>
      </c>
      <c r="AS159" s="258">
        <f t="shared" si="322"/>
        <v>0</v>
      </c>
      <c r="AT159" s="258">
        <f t="shared" si="322"/>
        <v>0</v>
      </c>
      <c r="AU159" s="258">
        <f t="shared" si="322"/>
        <v>0</v>
      </c>
      <c r="AV159" s="258">
        <f>SUM(AV152:AV158)</f>
        <v>507923.19999999995</v>
      </c>
      <c r="AX159" s="258">
        <f>SUM(AX152:AX158)</f>
        <v>326158.3</v>
      </c>
      <c r="AY159" s="258">
        <f t="shared" ref="AY159:BC159" si="323">SUM(AY152:AY158)</f>
        <v>54290</v>
      </c>
      <c r="AZ159" s="258">
        <f t="shared" si="323"/>
        <v>0</v>
      </c>
      <c r="BA159" s="258">
        <f t="shared" si="323"/>
        <v>0</v>
      </c>
      <c r="BB159" s="258">
        <f t="shared" si="323"/>
        <v>0</v>
      </c>
      <c r="BC159" s="258">
        <f t="shared" si="323"/>
        <v>0</v>
      </c>
      <c r="BD159" s="258">
        <f>SUM(BD152:BD158)</f>
        <v>380448.3</v>
      </c>
      <c r="BF159" s="258">
        <f>SUM(BF152:BF158)</f>
        <v>0</v>
      </c>
      <c r="BG159" s="258">
        <f t="shared" ref="BG159:BK159" si="324">SUM(BG152:BG158)</f>
        <v>0</v>
      </c>
      <c r="BH159" s="258">
        <f t="shared" si="324"/>
        <v>0</v>
      </c>
      <c r="BI159" s="258">
        <f t="shared" si="324"/>
        <v>0</v>
      </c>
      <c r="BJ159" s="258">
        <f t="shared" si="324"/>
        <v>0</v>
      </c>
      <c r="BK159" s="258">
        <f t="shared" si="324"/>
        <v>0</v>
      </c>
      <c r="BL159" s="258">
        <f>SUM(BL152:BL158)</f>
        <v>0</v>
      </c>
      <c r="BN159" s="258">
        <f>SUM(BN152:BN158)</f>
        <v>1838981.7</v>
      </c>
      <c r="BO159" s="258">
        <f t="shared" ref="BO159:BS159" si="325">SUM(BO152:BO158)</f>
        <v>2109080</v>
      </c>
      <c r="BP159" s="258">
        <f t="shared" si="325"/>
        <v>0</v>
      </c>
      <c r="BQ159" s="258">
        <f t="shared" si="325"/>
        <v>0</v>
      </c>
      <c r="BR159" s="258">
        <f t="shared" si="325"/>
        <v>0</v>
      </c>
      <c r="BS159" s="258">
        <f t="shared" si="325"/>
        <v>0</v>
      </c>
      <c r="BT159" s="258">
        <f>SUM(BT152:BT158)</f>
        <v>3948061.7</v>
      </c>
    </row>
    <row r="160" spans="1:72" x14ac:dyDescent="0.25">
      <c r="B160" s="259"/>
      <c r="C160" s="259"/>
      <c r="D160" s="259"/>
      <c r="E160" s="259"/>
      <c r="F160" s="259"/>
      <c r="G160" s="259"/>
      <c r="H160" s="259"/>
      <c r="J160" s="259"/>
      <c r="K160" s="259"/>
      <c r="L160" s="259"/>
      <c r="M160" s="259"/>
      <c r="N160" s="259"/>
      <c r="O160" s="259"/>
      <c r="P160" s="259"/>
      <c r="R160" s="259"/>
      <c r="S160" s="259"/>
      <c r="T160" s="259"/>
      <c r="U160" s="259"/>
      <c r="V160" s="259"/>
      <c r="W160" s="259"/>
      <c r="X160" s="259"/>
      <c r="Z160" s="259"/>
      <c r="AA160" s="259"/>
      <c r="AB160" s="259"/>
      <c r="AC160" s="259"/>
      <c r="AD160" s="259"/>
      <c r="AE160" s="259"/>
      <c r="AF160" s="259"/>
      <c r="AH160" s="259"/>
      <c r="AI160" s="259"/>
      <c r="AJ160" s="259"/>
      <c r="AK160" s="259"/>
      <c r="AL160" s="259"/>
      <c r="AM160" s="259"/>
      <c r="AN160" s="259"/>
      <c r="AP160" s="259"/>
      <c r="AQ160" s="259"/>
      <c r="AR160" s="259"/>
      <c r="AS160" s="259"/>
      <c r="AT160" s="259"/>
      <c r="AU160" s="259"/>
      <c r="AV160" s="259"/>
      <c r="AX160" s="259"/>
      <c r="AY160" s="259"/>
      <c r="AZ160" s="259"/>
      <c r="BA160" s="259"/>
      <c r="BB160" s="259"/>
      <c r="BC160" s="259"/>
      <c r="BD160" s="259"/>
      <c r="BF160" s="259"/>
      <c r="BG160" s="259"/>
      <c r="BH160" s="259"/>
      <c r="BI160" s="259"/>
      <c r="BJ160" s="259"/>
      <c r="BK160" s="259"/>
      <c r="BL160" s="259"/>
      <c r="BN160" s="259"/>
      <c r="BO160" s="259"/>
      <c r="BP160" s="259"/>
      <c r="BQ160" s="259"/>
      <c r="BR160" s="259"/>
      <c r="BS160" s="259"/>
      <c r="BT160" s="259"/>
    </row>
    <row r="161" spans="1:72" x14ac:dyDescent="0.25">
      <c r="A161" s="208" t="s">
        <v>335</v>
      </c>
      <c r="B161" s="260" t="s">
        <v>309</v>
      </c>
      <c r="C161" s="260" t="s">
        <v>310</v>
      </c>
      <c r="D161" s="260" t="s">
        <v>311</v>
      </c>
      <c r="E161" s="260" t="str">
        <f>E151</f>
        <v>Other</v>
      </c>
      <c r="F161" s="260" t="s">
        <v>315</v>
      </c>
      <c r="G161" s="260" t="s">
        <v>314</v>
      </c>
      <c r="H161" s="260" t="str">
        <f>H151</f>
        <v>Horizon</v>
      </c>
      <c r="J161" s="260" t="s">
        <v>309</v>
      </c>
      <c r="K161" s="260" t="s">
        <v>310</v>
      </c>
      <c r="L161" s="260" t="s">
        <v>311</v>
      </c>
      <c r="M161" s="260" t="str">
        <f>M151</f>
        <v>Other</v>
      </c>
      <c r="N161" s="260" t="s">
        <v>315</v>
      </c>
      <c r="O161" s="260" t="s">
        <v>314</v>
      </c>
      <c r="P161" s="260" t="str">
        <f>P151</f>
        <v>Cadence</v>
      </c>
      <c r="R161" s="260" t="s">
        <v>309</v>
      </c>
      <c r="S161" s="260" t="s">
        <v>310</v>
      </c>
      <c r="T161" s="260" t="s">
        <v>311</v>
      </c>
      <c r="U161" s="260" t="str">
        <f>U151</f>
        <v>Other</v>
      </c>
      <c r="V161" s="260" t="s">
        <v>315</v>
      </c>
      <c r="W161" s="260" t="s">
        <v>314</v>
      </c>
      <c r="X161" s="260" t="str">
        <f>X151</f>
        <v>St. Rose</v>
      </c>
      <c r="Z161" s="260" t="s">
        <v>309</v>
      </c>
      <c r="AA161" s="260" t="s">
        <v>310</v>
      </c>
      <c r="AB161" s="260" t="s">
        <v>311</v>
      </c>
      <c r="AC161" s="260" t="str">
        <f>AC151</f>
        <v>Other</v>
      </c>
      <c r="AD161" s="260" t="s">
        <v>315</v>
      </c>
      <c r="AE161" s="260" t="s">
        <v>314</v>
      </c>
      <c r="AF161" s="260" t="str">
        <f>AF151</f>
        <v>Inspirada</v>
      </c>
      <c r="AH161" s="260" t="s">
        <v>309</v>
      </c>
      <c r="AI161" s="260" t="s">
        <v>310</v>
      </c>
      <c r="AJ161" s="260" t="s">
        <v>311</v>
      </c>
      <c r="AK161" s="260" t="str">
        <f>AK151</f>
        <v>Other</v>
      </c>
      <c r="AL161" s="260" t="s">
        <v>315</v>
      </c>
      <c r="AM161" s="260" t="s">
        <v>314</v>
      </c>
      <c r="AN161" s="260" t="str">
        <f>AN151</f>
        <v>Sloan</v>
      </c>
      <c r="AP161" s="260" t="s">
        <v>309</v>
      </c>
      <c r="AQ161" s="260" t="s">
        <v>310</v>
      </c>
      <c r="AR161" s="260" t="s">
        <v>311</v>
      </c>
      <c r="AS161" s="260" t="str">
        <f>AS151</f>
        <v>Other</v>
      </c>
      <c r="AT161" s="260" t="s">
        <v>315</v>
      </c>
      <c r="AU161" s="260" t="s">
        <v>314</v>
      </c>
      <c r="AV161" s="260" t="str">
        <f>AV151</f>
        <v>Springs</v>
      </c>
      <c r="AX161" s="260" t="s">
        <v>309</v>
      </c>
      <c r="AY161" s="260" t="s">
        <v>310</v>
      </c>
      <c r="AZ161" s="260" t="s">
        <v>311</v>
      </c>
      <c r="BA161" s="260" t="str">
        <f>BA151</f>
        <v>Other</v>
      </c>
      <c r="BB161" s="260" t="s">
        <v>315</v>
      </c>
      <c r="BC161" s="260" t="s">
        <v>314</v>
      </c>
      <c r="BD161" s="260" t="str">
        <f>BD151</f>
        <v>Virtual</v>
      </c>
      <c r="BF161" s="260" t="s">
        <v>309</v>
      </c>
      <c r="BG161" s="260" t="s">
        <v>310</v>
      </c>
      <c r="BH161" s="260" t="s">
        <v>311</v>
      </c>
      <c r="BI161" s="260" t="str">
        <f>BI151</f>
        <v>Other</v>
      </c>
      <c r="BJ161" s="260" t="s">
        <v>315</v>
      </c>
      <c r="BK161" s="260" t="s">
        <v>314</v>
      </c>
      <c r="BL161" s="260" t="str">
        <f>BL151</f>
        <v>Central</v>
      </c>
      <c r="BN161" s="260" t="s">
        <v>309</v>
      </c>
      <c r="BO161" s="260" t="s">
        <v>310</v>
      </c>
      <c r="BP161" s="260" t="s">
        <v>311</v>
      </c>
      <c r="BQ161" s="260" t="str">
        <f>BQ151</f>
        <v>Other</v>
      </c>
      <c r="BR161" s="260" t="s">
        <v>315</v>
      </c>
      <c r="BS161" s="260" t="s">
        <v>314</v>
      </c>
      <c r="BT161" s="260" t="str">
        <f>BT151</f>
        <v>System</v>
      </c>
    </row>
    <row r="162" spans="1:72" x14ac:dyDescent="0.25">
      <c r="A162" s="214" t="s">
        <v>262</v>
      </c>
      <c r="B162" s="257">
        <f>5000+500+500</f>
        <v>6000</v>
      </c>
      <c r="C162" s="257"/>
      <c r="D162" s="257"/>
      <c r="E162" s="257"/>
      <c r="F162" s="257"/>
      <c r="G162" s="257"/>
      <c r="H162" s="241">
        <f>SUM(B162:G162)</f>
        <v>6000</v>
      </c>
      <c r="J162" s="257">
        <f>5000+500+500</f>
        <v>6000</v>
      </c>
      <c r="K162" s="257"/>
      <c r="L162" s="257"/>
      <c r="M162" s="257"/>
      <c r="N162" s="257"/>
      <c r="O162" s="257"/>
      <c r="P162" s="241">
        <f>SUM(J162:O162)</f>
        <v>6000</v>
      </c>
      <c r="R162" s="257">
        <f>5000+500+500</f>
        <v>6000</v>
      </c>
      <c r="S162" s="257"/>
      <c r="T162" s="257"/>
      <c r="U162" s="257"/>
      <c r="V162" s="257"/>
      <c r="W162" s="257"/>
      <c r="X162" s="241">
        <f>SUM(R162:W162)</f>
        <v>6000</v>
      </c>
      <c r="Z162" s="257">
        <f>5000+500+500</f>
        <v>6000</v>
      </c>
      <c r="AA162" s="257"/>
      <c r="AB162" s="257"/>
      <c r="AC162" s="257"/>
      <c r="AD162" s="257"/>
      <c r="AE162" s="257"/>
      <c r="AF162" s="241">
        <f>SUM(Z162:AE162)</f>
        <v>6000</v>
      </c>
      <c r="AH162" s="257">
        <f>5000+500+500</f>
        <v>6000</v>
      </c>
      <c r="AI162" s="257"/>
      <c r="AJ162" s="257"/>
      <c r="AK162" s="257"/>
      <c r="AL162" s="257"/>
      <c r="AM162" s="257"/>
      <c r="AN162" s="241">
        <f>SUM(AH162:AM162)</f>
        <v>6000</v>
      </c>
      <c r="AP162" s="257">
        <v>2500</v>
      </c>
      <c r="AQ162" s="257"/>
      <c r="AR162" s="257"/>
      <c r="AS162" s="257"/>
      <c r="AT162" s="257"/>
      <c r="AU162" s="257"/>
      <c r="AV162" s="241">
        <f>SUM(AP162:AU162)</f>
        <v>2500</v>
      </c>
      <c r="AX162" s="257">
        <v>0</v>
      </c>
      <c r="AY162" s="257"/>
      <c r="AZ162" s="257"/>
      <c r="BA162" s="257"/>
      <c r="BB162" s="257"/>
      <c r="BC162" s="257"/>
      <c r="BD162" s="241">
        <f>SUM(AX162:BC162)</f>
        <v>0</v>
      </c>
      <c r="BF162" s="257"/>
      <c r="BG162" s="257"/>
      <c r="BH162" s="257"/>
      <c r="BI162" s="257"/>
      <c r="BJ162" s="257"/>
      <c r="BK162" s="257"/>
      <c r="BL162" s="241">
        <f>SUM(BF162:BK162)</f>
        <v>0</v>
      </c>
      <c r="BN162" s="241">
        <f>B162+J162+R162+Z162+AH162+AP162+AX162+BF162</f>
        <v>32500</v>
      </c>
      <c r="BO162" s="241">
        <f t="shared" ref="BO162:BS170" si="326">C162+K162+S162+AA162+AI162+AQ162+AY162+BG162</f>
        <v>0</v>
      </c>
      <c r="BP162" s="241">
        <f t="shared" si="326"/>
        <v>0</v>
      </c>
      <c r="BQ162" s="241">
        <f t="shared" si="326"/>
        <v>0</v>
      </c>
      <c r="BR162" s="241">
        <f t="shared" si="326"/>
        <v>0</v>
      </c>
      <c r="BS162" s="241">
        <f t="shared" si="326"/>
        <v>0</v>
      </c>
      <c r="BT162" s="241">
        <f>SUM(BN162:BS162)</f>
        <v>32500</v>
      </c>
    </row>
    <row r="163" spans="1:72" x14ac:dyDescent="0.25">
      <c r="A163" s="211" t="s">
        <v>264</v>
      </c>
      <c r="B163" s="244"/>
      <c r="C163" s="244"/>
      <c r="D163" s="244"/>
      <c r="E163" s="244"/>
      <c r="F163" s="244"/>
      <c r="G163" s="244"/>
      <c r="H163" s="241">
        <f t="shared" ref="H163:H170" si="327">SUM(B163:G163)</f>
        <v>0</v>
      </c>
      <c r="J163" s="244"/>
      <c r="K163" s="244"/>
      <c r="L163" s="244"/>
      <c r="M163" s="244"/>
      <c r="N163" s="244"/>
      <c r="O163" s="244"/>
      <c r="P163" s="241">
        <f t="shared" ref="P163:P170" si="328">SUM(J163:O163)</f>
        <v>0</v>
      </c>
      <c r="R163" s="242">
        <f>32697*1.04*1.04*1.03</f>
        <v>36426.027456000011</v>
      </c>
      <c r="S163" s="244"/>
      <c r="T163" s="244"/>
      <c r="U163" s="244"/>
      <c r="V163" s="244"/>
      <c r="W163" s="244"/>
      <c r="X163" s="241">
        <f t="shared" ref="X163:X170" si="329">SUM(R163:W163)</f>
        <v>36426.027456000011</v>
      </c>
      <c r="Z163" s="244"/>
      <c r="AA163" s="244"/>
      <c r="AB163" s="244"/>
      <c r="AC163" s="244"/>
      <c r="AD163" s="244"/>
      <c r="AE163" s="244"/>
      <c r="AF163" s="241">
        <f t="shared" ref="AF163:AF170" si="330">SUM(Z163:AE163)</f>
        <v>0</v>
      </c>
      <c r="AH163" s="244"/>
      <c r="AI163" s="244"/>
      <c r="AJ163" s="244"/>
      <c r="AK163" s="244"/>
      <c r="AL163" s="244"/>
      <c r="AM163" s="244"/>
      <c r="AN163" s="241">
        <f t="shared" ref="AN163:AN170" si="331">SUM(AH163:AM163)</f>
        <v>0</v>
      </c>
      <c r="AP163" s="244"/>
      <c r="AQ163" s="244"/>
      <c r="AR163" s="244"/>
      <c r="AS163" s="244"/>
      <c r="AT163" s="244"/>
      <c r="AU163" s="244"/>
      <c r="AV163" s="241">
        <f t="shared" ref="AV163:AV170" si="332">SUM(AP163:AU163)</f>
        <v>0</v>
      </c>
      <c r="AX163" s="244">
        <f>800*AX17</f>
        <v>145600</v>
      </c>
      <c r="AY163" s="244"/>
      <c r="AZ163" s="244"/>
      <c r="BA163" s="244"/>
      <c r="BB163" s="244"/>
      <c r="BC163" s="244"/>
      <c r="BD163" s="241">
        <f t="shared" ref="BD163:BD170" si="333">SUM(AX163:BC163)</f>
        <v>145600</v>
      </c>
      <c r="BF163" s="244"/>
      <c r="BG163" s="244"/>
      <c r="BH163" s="244"/>
      <c r="BI163" s="244"/>
      <c r="BJ163" s="244"/>
      <c r="BK163" s="244"/>
      <c r="BL163" s="241">
        <f t="shared" ref="BL163:BL170" si="334">SUM(BF163:BK163)</f>
        <v>0</v>
      </c>
      <c r="BN163" s="241">
        <f t="shared" ref="BN163:BN170" si="335">B163+J163+R163+Z163+AH163+AP163+AX163+BF163</f>
        <v>182026.02745600001</v>
      </c>
      <c r="BO163" s="241">
        <f t="shared" si="326"/>
        <v>0</v>
      </c>
      <c r="BP163" s="241">
        <f t="shared" si="326"/>
        <v>0</v>
      </c>
      <c r="BQ163" s="241">
        <f t="shared" si="326"/>
        <v>0</v>
      </c>
      <c r="BR163" s="241">
        <f t="shared" si="326"/>
        <v>0</v>
      </c>
      <c r="BS163" s="241">
        <f t="shared" si="326"/>
        <v>0</v>
      </c>
      <c r="BT163" s="241">
        <f t="shared" ref="BT163:BT170" si="336">SUM(BN163:BS163)</f>
        <v>182026.02745600001</v>
      </c>
    </row>
    <row r="164" spans="1:72" x14ac:dyDescent="0.25">
      <c r="A164" s="211" t="s">
        <v>268</v>
      </c>
      <c r="B164" s="244">
        <f>506.24*B17</f>
        <v>469284.48</v>
      </c>
      <c r="C164" s="244"/>
      <c r="D164" s="244"/>
      <c r="E164" s="244"/>
      <c r="F164" s="244"/>
      <c r="G164" s="244"/>
      <c r="H164" s="241">
        <f t="shared" si="327"/>
        <v>469284.48</v>
      </c>
      <c r="J164" s="244">
        <f>506.24*J17</f>
        <v>1272687.3600000001</v>
      </c>
      <c r="K164" s="244"/>
      <c r="L164" s="244"/>
      <c r="M164" s="244"/>
      <c r="N164" s="244"/>
      <c r="O164" s="244"/>
      <c r="P164" s="241">
        <f t="shared" si="328"/>
        <v>1272687.3600000001</v>
      </c>
      <c r="R164" s="244">
        <f>506.24*R17</f>
        <v>521427.20000000001</v>
      </c>
      <c r="S164" s="244"/>
      <c r="T164" s="244"/>
      <c r="U164" s="244"/>
      <c r="V164" s="244"/>
      <c r="W164" s="244"/>
      <c r="X164" s="241">
        <f t="shared" si="329"/>
        <v>521427.20000000001</v>
      </c>
      <c r="Z164" s="244">
        <f>506.24*Z17</f>
        <v>606475.52000000002</v>
      </c>
      <c r="AA164" s="244"/>
      <c r="AB164" s="244"/>
      <c r="AC164" s="244"/>
      <c r="AD164" s="244"/>
      <c r="AE164" s="244"/>
      <c r="AF164" s="241">
        <f t="shared" si="330"/>
        <v>606475.52000000002</v>
      </c>
      <c r="AH164" s="244">
        <f>506.24*AH17</f>
        <v>1285849.6000000001</v>
      </c>
      <c r="AI164" s="244"/>
      <c r="AJ164" s="244"/>
      <c r="AK164" s="244"/>
      <c r="AL164" s="244"/>
      <c r="AM164" s="244"/>
      <c r="AN164" s="241">
        <f t="shared" si="331"/>
        <v>1285849.6000000001</v>
      </c>
      <c r="AP164" s="244">
        <f>506.24*AP17</f>
        <v>412079.35999999999</v>
      </c>
      <c r="AQ164" s="244"/>
      <c r="AR164" s="244"/>
      <c r="AS164" s="244"/>
      <c r="AT164" s="244"/>
      <c r="AU164" s="244"/>
      <c r="AV164" s="241">
        <f t="shared" si="332"/>
        <v>412079.35999999999</v>
      </c>
      <c r="AX164" s="244">
        <f>506.24*AX17</f>
        <v>92135.680000000008</v>
      </c>
      <c r="AY164" s="244"/>
      <c r="AZ164" s="244"/>
      <c r="BA164" s="244"/>
      <c r="BB164" s="244"/>
      <c r="BC164" s="244"/>
      <c r="BD164" s="241">
        <f t="shared" si="333"/>
        <v>92135.680000000008</v>
      </c>
      <c r="BF164" s="244"/>
      <c r="BG164" s="244"/>
      <c r="BH164" s="244"/>
      <c r="BI164" s="244"/>
      <c r="BJ164" s="244"/>
      <c r="BK164" s="244"/>
      <c r="BL164" s="241">
        <f t="shared" si="334"/>
        <v>0</v>
      </c>
      <c r="BN164" s="241">
        <f t="shared" si="335"/>
        <v>4659939.2</v>
      </c>
      <c r="BO164" s="241">
        <f t="shared" si="326"/>
        <v>0</v>
      </c>
      <c r="BP164" s="241">
        <f t="shared" si="326"/>
        <v>0</v>
      </c>
      <c r="BQ164" s="241">
        <f t="shared" si="326"/>
        <v>0</v>
      </c>
      <c r="BR164" s="241">
        <f t="shared" si="326"/>
        <v>0</v>
      </c>
      <c r="BS164" s="241">
        <f t="shared" si="326"/>
        <v>0</v>
      </c>
      <c r="BT164" s="241">
        <f t="shared" si="336"/>
        <v>4659939.2</v>
      </c>
    </row>
    <row r="165" spans="1:72" x14ac:dyDescent="0.25">
      <c r="A165" s="211" t="s">
        <v>269</v>
      </c>
      <c r="B165" s="242">
        <f>(2500*12)*1.02*1.02</f>
        <v>31212</v>
      </c>
      <c r="C165" s="244"/>
      <c r="D165" s="244"/>
      <c r="E165" s="244"/>
      <c r="F165" s="244"/>
      <c r="G165" s="244"/>
      <c r="H165" s="241">
        <f t="shared" si="327"/>
        <v>31212</v>
      </c>
      <c r="J165" s="242">
        <f>(5700*12)*1.03*1.03</f>
        <v>72565.56</v>
      </c>
      <c r="K165" s="244"/>
      <c r="L165" s="244"/>
      <c r="M165" s="244"/>
      <c r="N165" s="244"/>
      <c r="O165" s="244"/>
      <c r="P165" s="241">
        <f t="shared" si="328"/>
        <v>72565.56</v>
      </c>
      <c r="R165" s="242">
        <f>(2600*12)*1.03*1.03</f>
        <v>33100.080000000002</v>
      </c>
      <c r="S165" s="244"/>
      <c r="T165" s="244"/>
      <c r="U165" s="244"/>
      <c r="V165" s="244"/>
      <c r="W165" s="244"/>
      <c r="X165" s="241">
        <f t="shared" si="329"/>
        <v>33100.080000000002</v>
      </c>
      <c r="Z165" s="242">
        <f>(3000*12)*1.02*1.02</f>
        <v>37454.400000000001</v>
      </c>
      <c r="AA165" s="244"/>
      <c r="AB165" s="244"/>
      <c r="AC165" s="244"/>
      <c r="AD165" s="244"/>
      <c r="AE165" s="244"/>
      <c r="AF165" s="241">
        <f t="shared" si="330"/>
        <v>37454.400000000001</v>
      </c>
      <c r="AH165" s="242">
        <f>(5700*12)*1.03*1.03</f>
        <v>72565.56</v>
      </c>
      <c r="AI165" s="244"/>
      <c r="AJ165" s="244"/>
      <c r="AK165" s="244"/>
      <c r="AL165" s="244"/>
      <c r="AM165" s="244"/>
      <c r="AN165" s="241">
        <f t="shared" si="331"/>
        <v>72565.56</v>
      </c>
      <c r="AP165" s="242">
        <v>24500</v>
      </c>
      <c r="AQ165" s="244"/>
      <c r="AR165" s="244"/>
      <c r="AS165" s="244"/>
      <c r="AT165" s="244"/>
      <c r="AU165" s="244"/>
      <c r="AV165" s="241">
        <f t="shared" si="332"/>
        <v>24500</v>
      </c>
      <c r="AX165" s="280">
        <f>5500+250+500</f>
        <v>6250</v>
      </c>
      <c r="AY165" s="244"/>
      <c r="AZ165" s="244"/>
      <c r="BA165" s="244"/>
      <c r="BB165" s="244"/>
      <c r="BC165" s="244"/>
      <c r="BD165" s="241">
        <f t="shared" si="333"/>
        <v>6250</v>
      </c>
      <c r="BF165" s="242">
        <v>6500</v>
      </c>
      <c r="BG165" s="244"/>
      <c r="BH165" s="244"/>
      <c r="BI165" s="244"/>
      <c r="BJ165" s="244"/>
      <c r="BK165" s="244"/>
      <c r="BL165" s="241">
        <f t="shared" si="334"/>
        <v>6500</v>
      </c>
      <c r="BN165" s="241">
        <f t="shared" si="335"/>
        <v>284147.59999999998</v>
      </c>
      <c r="BO165" s="241">
        <f t="shared" si="326"/>
        <v>0</v>
      </c>
      <c r="BP165" s="241">
        <f t="shared" si="326"/>
        <v>0</v>
      </c>
      <c r="BQ165" s="241">
        <f t="shared" si="326"/>
        <v>0</v>
      </c>
      <c r="BR165" s="241">
        <f t="shared" si="326"/>
        <v>0</v>
      </c>
      <c r="BS165" s="241">
        <f t="shared" si="326"/>
        <v>0</v>
      </c>
      <c r="BT165" s="241">
        <f t="shared" si="336"/>
        <v>284147.59999999998</v>
      </c>
    </row>
    <row r="166" spans="1:72" x14ac:dyDescent="0.25">
      <c r="A166" s="211" t="s">
        <v>270</v>
      </c>
      <c r="B166" s="244">
        <f>26500*1.03*1.03</f>
        <v>28113.850000000002</v>
      </c>
      <c r="C166" s="244"/>
      <c r="D166" s="244"/>
      <c r="E166" s="244"/>
      <c r="F166" s="244"/>
      <c r="G166" s="244"/>
      <c r="H166" s="241">
        <f t="shared" si="327"/>
        <v>28113.850000000002</v>
      </c>
      <c r="J166" s="244">
        <f>26500*1.04*1.03</f>
        <v>28386.799999999999</v>
      </c>
      <c r="K166" s="244"/>
      <c r="L166" s="244"/>
      <c r="M166" s="244"/>
      <c r="N166" s="244"/>
      <c r="O166" s="244"/>
      <c r="P166" s="241">
        <f t="shared" si="328"/>
        <v>28386.799999999999</v>
      </c>
      <c r="R166" s="244">
        <f>26500*1.03*1.03</f>
        <v>28113.850000000002</v>
      </c>
      <c r="S166" s="244"/>
      <c r="T166" s="244"/>
      <c r="U166" s="244"/>
      <c r="V166" s="244"/>
      <c r="W166" s="244"/>
      <c r="X166" s="241">
        <f t="shared" si="329"/>
        <v>28113.850000000002</v>
      </c>
      <c r="Z166" s="244">
        <f>26500*1.03*1.03</f>
        <v>28113.850000000002</v>
      </c>
      <c r="AA166" s="244"/>
      <c r="AB166" s="244"/>
      <c r="AC166" s="244"/>
      <c r="AD166" s="244"/>
      <c r="AE166" s="244"/>
      <c r="AF166" s="241">
        <f t="shared" si="330"/>
        <v>28113.850000000002</v>
      </c>
      <c r="AH166" s="244">
        <f>26500*1.03*1.03</f>
        <v>28113.850000000002</v>
      </c>
      <c r="AI166" s="244"/>
      <c r="AJ166" s="244"/>
      <c r="AK166" s="244"/>
      <c r="AL166" s="244"/>
      <c r="AM166" s="244"/>
      <c r="AN166" s="241">
        <f t="shared" si="331"/>
        <v>28113.850000000002</v>
      </c>
      <c r="AP166" s="244">
        <f>5000*1.03*1.03</f>
        <v>5304.5</v>
      </c>
      <c r="AQ166" s="244"/>
      <c r="AR166" s="244"/>
      <c r="AS166" s="244"/>
      <c r="AT166" s="244"/>
      <c r="AU166" s="244"/>
      <c r="AV166" s="241">
        <f t="shared" si="332"/>
        <v>5304.5</v>
      </c>
      <c r="AX166" s="244">
        <f>26500*1.03*1.03</f>
        <v>28113.850000000002</v>
      </c>
      <c r="AY166" s="244"/>
      <c r="AZ166" s="244"/>
      <c r="BA166" s="244"/>
      <c r="BB166" s="244"/>
      <c r="BC166" s="244"/>
      <c r="BD166" s="241">
        <f t="shared" si="333"/>
        <v>28113.850000000002</v>
      </c>
      <c r="BF166" s="244"/>
      <c r="BG166" s="244"/>
      <c r="BH166" s="244"/>
      <c r="BI166" s="244"/>
      <c r="BJ166" s="244"/>
      <c r="BK166" s="244"/>
      <c r="BL166" s="241">
        <f t="shared" si="334"/>
        <v>0</v>
      </c>
      <c r="BN166" s="241">
        <f t="shared" si="335"/>
        <v>174260.55000000002</v>
      </c>
      <c r="BO166" s="241">
        <f t="shared" si="326"/>
        <v>0</v>
      </c>
      <c r="BP166" s="241">
        <f t="shared" si="326"/>
        <v>0</v>
      </c>
      <c r="BQ166" s="241">
        <f t="shared" si="326"/>
        <v>0</v>
      </c>
      <c r="BR166" s="241">
        <f t="shared" si="326"/>
        <v>0</v>
      </c>
      <c r="BS166" s="241">
        <f t="shared" si="326"/>
        <v>0</v>
      </c>
      <c r="BT166" s="241">
        <f t="shared" si="336"/>
        <v>174260.55000000002</v>
      </c>
    </row>
    <row r="167" spans="1:72" x14ac:dyDescent="0.25">
      <c r="A167" s="211" t="s">
        <v>271</v>
      </c>
      <c r="B167" s="244">
        <f>22500+1000+1000</f>
        <v>24500</v>
      </c>
      <c r="C167" s="244"/>
      <c r="D167" s="244"/>
      <c r="E167" s="244"/>
      <c r="F167" s="244"/>
      <c r="G167" s="244"/>
      <c r="H167" s="241">
        <f t="shared" si="327"/>
        <v>24500</v>
      </c>
      <c r="J167" s="244">
        <f>40000*1.05+1000</f>
        <v>43000</v>
      </c>
      <c r="K167" s="244"/>
      <c r="L167" s="244"/>
      <c r="M167" s="244"/>
      <c r="N167" s="244"/>
      <c r="O167" s="244"/>
      <c r="P167" s="241">
        <f t="shared" si="328"/>
        <v>43000</v>
      </c>
      <c r="R167" s="244">
        <f>27500+1000+1000</f>
        <v>29500</v>
      </c>
      <c r="S167" s="244"/>
      <c r="T167" s="244"/>
      <c r="U167" s="244"/>
      <c r="V167" s="244"/>
      <c r="W167" s="244"/>
      <c r="X167" s="241">
        <f t="shared" si="329"/>
        <v>29500</v>
      </c>
      <c r="Z167" s="244">
        <f>30000+1000+1000</f>
        <v>32000</v>
      </c>
      <c r="AA167" s="244"/>
      <c r="AB167" s="244"/>
      <c r="AC167" s="244"/>
      <c r="AD167" s="244"/>
      <c r="AE167" s="244"/>
      <c r="AF167" s="241">
        <f t="shared" si="330"/>
        <v>32000</v>
      </c>
      <c r="AH167" s="244">
        <f>40000+1000+1000</f>
        <v>42000</v>
      </c>
      <c r="AI167" s="244"/>
      <c r="AJ167" s="244"/>
      <c r="AK167" s="244"/>
      <c r="AL167" s="244"/>
      <c r="AM167" s="244"/>
      <c r="AN167" s="241">
        <f t="shared" si="331"/>
        <v>42000</v>
      </c>
      <c r="AP167" s="244">
        <v>13000</v>
      </c>
      <c r="AQ167" s="244"/>
      <c r="AR167" s="244"/>
      <c r="AS167" s="244"/>
      <c r="AT167" s="244"/>
      <c r="AU167" s="244"/>
      <c r="AV167" s="241">
        <f t="shared" si="332"/>
        <v>13000</v>
      </c>
      <c r="AX167" s="244">
        <f>20000+1000+1000</f>
        <v>22000</v>
      </c>
      <c r="AY167" s="244"/>
      <c r="AZ167" s="244"/>
      <c r="BA167" s="244"/>
      <c r="BB167" s="244"/>
      <c r="BC167" s="244"/>
      <c r="BD167" s="241">
        <f t="shared" si="333"/>
        <v>22000</v>
      </c>
      <c r="BF167" s="244"/>
      <c r="BG167" s="244"/>
      <c r="BH167" s="244"/>
      <c r="BI167" s="244"/>
      <c r="BJ167" s="244"/>
      <c r="BK167" s="244"/>
      <c r="BL167" s="241">
        <f t="shared" si="334"/>
        <v>0</v>
      </c>
      <c r="BN167" s="241">
        <f t="shared" si="335"/>
        <v>206000</v>
      </c>
      <c r="BO167" s="241">
        <f t="shared" si="326"/>
        <v>0</v>
      </c>
      <c r="BP167" s="241">
        <f t="shared" si="326"/>
        <v>0</v>
      </c>
      <c r="BQ167" s="241">
        <f t="shared" si="326"/>
        <v>0</v>
      </c>
      <c r="BR167" s="241">
        <f t="shared" si="326"/>
        <v>0</v>
      </c>
      <c r="BS167" s="241">
        <f t="shared" si="326"/>
        <v>0</v>
      </c>
      <c r="BT167" s="241">
        <f t="shared" si="336"/>
        <v>206000</v>
      </c>
    </row>
    <row r="168" spans="1:72" x14ac:dyDescent="0.25">
      <c r="A168" s="211" t="s">
        <v>272</v>
      </c>
      <c r="B168" s="244">
        <f>(50*B17)+(70*12)</f>
        <v>47190</v>
      </c>
      <c r="C168" s="244"/>
      <c r="D168" s="244"/>
      <c r="E168" s="244"/>
      <c r="F168" s="244"/>
      <c r="G168" s="244"/>
      <c r="H168" s="241">
        <f t="shared" si="327"/>
        <v>47190</v>
      </c>
      <c r="J168" s="244">
        <f>(50*J17)+(70*12)</f>
        <v>126540</v>
      </c>
      <c r="K168" s="244"/>
      <c r="L168" s="244"/>
      <c r="M168" s="244"/>
      <c r="N168" s="244"/>
      <c r="O168" s="244"/>
      <c r="P168" s="241">
        <f t="shared" si="328"/>
        <v>126540</v>
      </c>
      <c r="R168" s="244">
        <f>(50*R17)+(70*12)</f>
        <v>52340</v>
      </c>
      <c r="S168" s="244"/>
      <c r="T168" s="244"/>
      <c r="U168" s="244"/>
      <c r="V168" s="244"/>
      <c r="W168" s="244"/>
      <c r="X168" s="241">
        <f t="shared" si="329"/>
        <v>52340</v>
      </c>
      <c r="Z168" s="244">
        <f>(50*Z17)+(70*12)</f>
        <v>60740</v>
      </c>
      <c r="AA168" s="244"/>
      <c r="AB168" s="244"/>
      <c r="AC168" s="244"/>
      <c r="AD168" s="244"/>
      <c r="AE168" s="244"/>
      <c r="AF168" s="241">
        <f t="shared" si="330"/>
        <v>60740</v>
      </c>
      <c r="AH168" s="244">
        <f>(50*AH17)+(70*12)</f>
        <v>127840</v>
      </c>
      <c r="AI168" s="244"/>
      <c r="AJ168" s="244"/>
      <c r="AK168" s="244"/>
      <c r="AL168" s="244"/>
      <c r="AM168" s="244"/>
      <c r="AN168" s="241">
        <f t="shared" si="331"/>
        <v>127840</v>
      </c>
      <c r="AP168" s="244">
        <f>(50*AP17)+(70*12)</f>
        <v>41540</v>
      </c>
      <c r="AQ168" s="244"/>
      <c r="AR168" s="244"/>
      <c r="AS168" s="244"/>
      <c r="AT168" s="244"/>
      <c r="AU168" s="244"/>
      <c r="AV168" s="241">
        <f t="shared" si="332"/>
        <v>41540</v>
      </c>
      <c r="AX168" s="244">
        <f>(50*AX17)+(70*12)</f>
        <v>9940</v>
      </c>
      <c r="AY168" s="244"/>
      <c r="AZ168" s="244"/>
      <c r="BA168" s="244"/>
      <c r="BB168" s="244"/>
      <c r="BC168" s="244"/>
      <c r="BD168" s="241">
        <f t="shared" si="333"/>
        <v>9940</v>
      </c>
      <c r="BF168" s="244"/>
      <c r="BG168" s="244"/>
      <c r="BH168" s="244"/>
      <c r="BI168" s="244"/>
      <c r="BJ168" s="244"/>
      <c r="BK168" s="244"/>
      <c r="BL168" s="241">
        <f t="shared" si="334"/>
        <v>0</v>
      </c>
      <c r="BN168" s="241">
        <f t="shared" si="335"/>
        <v>466130</v>
      </c>
      <c r="BO168" s="241">
        <f t="shared" si="326"/>
        <v>0</v>
      </c>
      <c r="BP168" s="241">
        <f t="shared" si="326"/>
        <v>0</v>
      </c>
      <c r="BQ168" s="241">
        <f t="shared" si="326"/>
        <v>0</v>
      </c>
      <c r="BR168" s="241">
        <f t="shared" si="326"/>
        <v>0</v>
      </c>
      <c r="BS168" s="241">
        <f t="shared" si="326"/>
        <v>0</v>
      </c>
      <c r="BT168" s="241">
        <f t="shared" si="336"/>
        <v>466130</v>
      </c>
    </row>
    <row r="169" spans="1:72" x14ac:dyDescent="0.25">
      <c r="A169" s="211" t="s">
        <v>273</v>
      </c>
      <c r="B169" s="244">
        <v>22000</v>
      </c>
      <c r="C169" s="244"/>
      <c r="D169" s="244"/>
      <c r="E169" s="244"/>
      <c r="F169" s="244"/>
      <c r="G169" s="244"/>
      <c r="H169" s="241">
        <f t="shared" si="327"/>
        <v>22000</v>
      </c>
      <c r="J169" s="244">
        <v>36000</v>
      </c>
      <c r="K169" s="244"/>
      <c r="L169" s="244"/>
      <c r="M169" s="244"/>
      <c r="N169" s="244"/>
      <c r="O169" s="244"/>
      <c r="P169" s="241">
        <f t="shared" si="328"/>
        <v>36000</v>
      </c>
      <c r="R169" s="244">
        <v>26500</v>
      </c>
      <c r="S169" s="244"/>
      <c r="T169" s="244"/>
      <c r="U169" s="244"/>
      <c r="V169" s="244"/>
      <c r="W169" s="244"/>
      <c r="X169" s="241">
        <f t="shared" si="329"/>
        <v>26500</v>
      </c>
      <c r="Z169" s="244">
        <v>28500</v>
      </c>
      <c r="AA169" s="244"/>
      <c r="AB169" s="244"/>
      <c r="AC169" s="244"/>
      <c r="AD169" s="244"/>
      <c r="AE169" s="244"/>
      <c r="AF169" s="241">
        <f t="shared" si="330"/>
        <v>28500</v>
      </c>
      <c r="AH169" s="244">
        <v>41000</v>
      </c>
      <c r="AI169" s="244"/>
      <c r="AJ169" s="244"/>
      <c r="AK169" s="244"/>
      <c r="AL169" s="244"/>
      <c r="AM169" s="244"/>
      <c r="AN169" s="241">
        <f t="shared" si="331"/>
        <v>41000</v>
      </c>
      <c r="AP169" s="244">
        <v>24500</v>
      </c>
      <c r="AQ169" s="244"/>
      <c r="AR169" s="244"/>
      <c r="AS169" s="244"/>
      <c r="AT169" s="244"/>
      <c r="AU169" s="244"/>
      <c r="AV169" s="241">
        <f t="shared" si="332"/>
        <v>24500</v>
      </c>
      <c r="AX169" s="244">
        <v>15750</v>
      </c>
      <c r="AY169" s="244"/>
      <c r="AZ169" s="244"/>
      <c r="BA169" s="244"/>
      <c r="BB169" s="244"/>
      <c r="BC169" s="244"/>
      <c r="BD169" s="241">
        <f t="shared" si="333"/>
        <v>15750</v>
      </c>
      <c r="BF169" s="244"/>
      <c r="BG169" s="244"/>
      <c r="BH169" s="244"/>
      <c r="BI169" s="244"/>
      <c r="BJ169" s="244"/>
      <c r="BK169" s="244"/>
      <c r="BL169" s="241">
        <f t="shared" si="334"/>
        <v>0</v>
      </c>
      <c r="BN169" s="241">
        <f t="shared" si="335"/>
        <v>194250</v>
      </c>
      <c r="BO169" s="241">
        <f t="shared" si="326"/>
        <v>0</v>
      </c>
      <c r="BP169" s="241">
        <f t="shared" si="326"/>
        <v>0</v>
      </c>
      <c r="BQ169" s="241">
        <f t="shared" si="326"/>
        <v>0</v>
      </c>
      <c r="BR169" s="241">
        <f t="shared" si="326"/>
        <v>0</v>
      </c>
      <c r="BS169" s="241">
        <f t="shared" si="326"/>
        <v>0</v>
      </c>
      <c r="BT169" s="241">
        <f t="shared" si="336"/>
        <v>194250</v>
      </c>
    </row>
    <row r="170" spans="1:72" x14ac:dyDescent="0.25">
      <c r="A170" s="212" t="s">
        <v>274</v>
      </c>
      <c r="B170" s="245">
        <f>B68*0.0125</f>
        <v>111587.625</v>
      </c>
      <c r="C170" s="245"/>
      <c r="D170" s="245"/>
      <c r="E170" s="245"/>
      <c r="F170" s="245"/>
      <c r="G170" s="245"/>
      <c r="H170" s="241">
        <f t="shared" si="327"/>
        <v>111587.625</v>
      </c>
      <c r="J170" s="245">
        <f>J68*0.0125</f>
        <v>302622.75</v>
      </c>
      <c r="K170" s="245"/>
      <c r="L170" s="245"/>
      <c r="M170" s="245"/>
      <c r="N170" s="245"/>
      <c r="O170" s="245"/>
      <c r="P170" s="241">
        <f t="shared" si="328"/>
        <v>302622.75</v>
      </c>
      <c r="R170" s="245">
        <f>R68*0.0125</f>
        <v>123986.25</v>
      </c>
      <c r="S170" s="245"/>
      <c r="T170" s="245"/>
      <c r="U170" s="245"/>
      <c r="V170" s="245"/>
      <c r="W170" s="245"/>
      <c r="X170" s="241">
        <f t="shared" si="329"/>
        <v>123986.25</v>
      </c>
      <c r="Z170" s="245">
        <f>Z68*0.0125</f>
        <v>144209.25</v>
      </c>
      <c r="AA170" s="245"/>
      <c r="AB170" s="245"/>
      <c r="AC170" s="245"/>
      <c r="AD170" s="245"/>
      <c r="AE170" s="245"/>
      <c r="AF170" s="241">
        <f t="shared" si="330"/>
        <v>144209.25</v>
      </c>
      <c r="AH170" s="245">
        <f>AH68*0.0125</f>
        <v>305752.5</v>
      </c>
      <c r="AI170" s="245"/>
      <c r="AJ170" s="245"/>
      <c r="AK170" s="245"/>
      <c r="AL170" s="245"/>
      <c r="AM170" s="245"/>
      <c r="AN170" s="241">
        <f t="shared" si="331"/>
        <v>305752.5</v>
      </c>
      <c r="AP170" s="245">
        <f>AP68*0.0125</f>
        <v>97985.25</v>
      </c>
      <c r="AQ170" s="245"/>
      <c r="AR170" s="245"/>
      <c r="AS170" s="245"/>
      <c r="AT170" s="245"/>
      <c r="AU170" s="245"/>
      <c r="AV170" s="241">
        <f t="shared" si="332"/>
        <v>97985.25</v>
      </c>
      <c r="AX170" s="245">
        <f>AX68*0.0125</f>
        <v>21908.25</v>
      </c>
      <c r="AY170" s="245"/>
      <c r="AZ170" s="245"/>
      <c r="BA170" s="245"/>
      <c r="BB170" s="245"/>
      <c r="BC170" s="245"/>
      <c r="BD170" s="241">
        <f t="shared" si="333"/>
        <v>21908.25</v>
      </c>
      <c r="BF170" s="245"/>
      <c r="BG170" s="245"/>
      <c r="BH170" s="245"/>
      <c r="BI170" s="245"/>
      <c r="BJ170" s="245"/>
      <c r="BK170" s="245"/>
      <c r="BL170" s="241">
        <f t="shared" si="334"/>
        <v>0</v>
      </c>
      <c r="BN170" s="241">
        <f t="shared" si="335"/>
        <v>1108051.875</v>
      </c>
      <c r="BO170" s="241">
        <f t="shared" si="326"/>
        <v>0</v>
      </c>
      <c r="BP170" s="241">
        <f t="shared" si="326"/>
        <v>0</v>
      </c>
      <c r="BQ170" s="241">
        <f t="shared" si="326"/>
        <v>0</v>
      </c>
      <c r="BR170" s="241">
        <f t="shared" si="326"/>
        <v>0</v>
      </c>
      <c r="BS170" s="241">
        <f t="shared" si="326"/>
        <v>0</v>
      </c>
      <c r="BT170" s="241">
        <f t="shared" si="336"/>
        <v>1108051.875</v>
      </c>
    </row>
    <row r="171" spans="1:72" x14ac:dyDescent="0.25">
      <c r="A171" s="213"/>
      <c r="B171" s="258">
        <f>SUM(B162:B170)</f>
        <v>739887.95499999996</v>
      </c>
      <c r="C171" s="258">
        <f t="shared" ref="C171:H171" si="337">SUM(C162:C170)</f>
        <v>0</v>
      </c>
      <c r="D171" s="258">
        <f t="shared" si="337"/>
        <v>0</v>
      </c>
      <c r="E171" s="258">
        <f t="shared" si="337"/>
        <v>0</v>
      </c>
      <c r="F171" s="258">
        <f t="shared" si="337"/>
        <v>0</v>
      </c>
      <c r="G171" s="258">
        <f t="shared" si="337"/>
        <v>0</v>
      </c>
      <c r="H171" s="258">
        <f t="shared" si="337"/>
        <v>739887.95499999996</v>
      </c>
      <c r="J171" s="258">
        <f>SUM(J162:J170)</f>
        <v>1887802.4700000002</v>
      </c>
      <c r="K171" s="258">
        <f t="shared" ref="K171:P171" si="338">SUM(K162:K170)</f>
        <v>0</v>
      </c>
      <c r="L171" s="258">
        <f t="shared" si="338"/>
        <v>0</v>
      </c>
      <c r="M171" s="258">
        <f t="shared" si="338"/>
        <v>0</v>
      </c>
      <c r="N171" s="258">
        <f t="shared" si="338"/>
        <v>0</v>
      </c>
      <c r="O171" s="258">
        <f t="shared" si="338"/>
        <v>0</v>
      </c>
      <c r="P171" s="258">
        <f t="shared" si="338"/>
        <v>1887802.4700000002</v>
      </c>
      <c r="R171" s="258">
        <f>SUM(R162:R170)</f>
        <v>857393.40745599999</v>
      </c>
      <c r="S171" s="258">
        <f t="shared" ref="S171:X171" si="339">SUM(S162:S170)</f>
        <v>0</v>
      </c>
      <c r="T171" s="258">
        <f t="shared" si="339"/>
        <v>0</v>
      </c>
      <c r="U171" s="258">
        <f t="shared" si="339"/>
        <v>0</v>
      </c>
      <c r="V171" s="258">
        <f t="shared" si="339"/>
        <v>0</v>
      </c>
      <c r="W171" s="258">
        <f t="shared" si="339"/>
        <v>0</v>
      </c>
      <c r="X171" s="258">
        <f t="shared" si="339"/>
        <v>857393.40745599999</v>
      </c>
      <c r="Z171" s="258">
        <f>SUM(Z162:Z170)</f>
        <v>943493.02</v>
      </c>
      <c r="AA171" s="258">
        <f t="shared" ref="AA171:AF171" si="340">SUM(AA162:AA170)</f>
        <v>0</v>
      </c>
      <c r="AB171" s="258">
        <f t="shared" si="340"/>
        <v>0</v>
      </c>
      <c r="AC171" s="258">
        <f t="shared" si="340"/>
        <v>0</v>
      </c>
      <c r="AD171" s="258">
        <f t="shared" si="340"/>
        <v>0</v>
      </c>
      <c r="AE171" s="258">
        <f t="shared" si="340"/>
        <v>0</v>
      </c>
      <c r="AF171" s="258">
        <f t="shared" si="340"/>
        <v>943493.02</v>
      </c>
      <c r="AH171" s="258">
        <f>SUM(AH162:AH170)</f>
        <v>1909121.5100000002</v>
      </c>
      <c r="AI171" s="258">
        <f t="shared" ref="AI171:AN171" si="341">SUM(AI162:AI170)</f>
        <v>0</v>
      </c>
      <c r="AJ171" s="258">
        <f t="shared" si="341"/>
        <v>0</v>
      </c>
      <c r="AK171" s="258">
        <f t="shared" si="341"/>
        <v>0</v>
      </c>
      <c r="AL171" s="258">
        <f t="shared" si="341"/>
        <v>0</v>
      </c>
      <c r="AM171" s="258">
        <f t="shared" si="341"/>
        <v>0</v>
      </c>
      <c r="AN171" s="258">
        <f t="shared" si="341"/>
        <v>1909121.5100000002</v>
      </c>
      <c r="AP171" s="258">
        <f>SUM(AP162:AP170)</f>
        <v>621409.11</v>
      </c>
      <c r="AQ171" s="258">
        <f t="shared" ref="AQ171:AV171" si="342">SUM(AQ162:AQ170)</f>
        <v>0</v>
      </c>
      <c r="AR171" s="258">
        <f t="shared" si="342"/>
        <v>0</v>
      </c>
      <c r="AS171" s="258">
        <f t="shared" si="342"/>
        <v>0</v>
      </c>
      <c r="AT171" s="258">
        <f t="shared" si="342"/>
        <v>0</v>
      </c>
      <c r="AU171" s="258">
        <f t="shared" si="342"/>
        <v>0</v>
      </c>
      <c r="AV171" s="258">
        <f t="shared" si="342"/>
        <v>621409.11</v>
      </c>
      <c r="AX171" s="258">
        <f>SUM(AX162:AX170)</f>
        <v>341697.77999999997</v>
      </c>
      <c r="AY171" s="258">
        <f t="shared" ref="AY171:BD171" si="343">SUM(AY162:AY170)</f>
        <v>0</v>
      </c>
      <c r="AZ171" s="258">
        <f t="shared" si="343"/>
        <v>0</v>
      </c>
      <c r="BA171" s="258">
        <f t="shared" si="343"/>
        <v>0</v>
      </c>
      <c r="BB171" s="258">
        <f t="shared" si="343"/>
        <v>0</v>
      </c>
      <c r="BC171" s="258">
        <f t="shared" si="343"/>
        <v>0</v>
      </c>
      <c r="BD171" s="258">
        <f t="shared" si="343"/>
        <v>341697.77999999997</v>
      </c>
      <c r="BF171" s="258">
        <f>SUM(BF162:BF170)</f>
        <v>6500</v>
      </c>
      <c r="BG171" s="258">
        <f t="shared" ref="BG171:BL171" si="344">SUM(BG162:BG170)</f>
        <v>0</v>
      </c>
      <c r="BH171" s="258">
        <f t="shared" si="344"/>
        <v>0</v>
      </c>
      <c r="BI171" s="258">
        <f t="shared" si="344"/>
        <v>0</v>
      </c>
      <c r="BJ171" s="258">
        <f t="shared" si="344"/>
        <v>0</v>
      </c>
      <c r="BK171" s="258">
        <f t="shared" si="344"/>
        <v>0</v>
      </c>
      <c r="BL171" s="258">
        <f t="shared" si="344"/>
        <v>6500</v>
      </c>
      <c r="BN171" s="258">
        <f>SUM(BN162:BN170)</f>
        <v>7307305.2524560001</v>
      </c>
      <c r="BO171" s="258">
        <f t="shared" ref="BO171:BT171" si="345">SUM(BO162:BO170)</f>
        <v>0</v>
      </c>
      <c r="BP171" s="258">
        <f t="shared" si="345"/>
        <v>0</v>
      </c>
      <c r="BQ171" s="258">
        <f t="shared" si="345"/>
        <v>0</v>
      </c>
      <c r="BR171" s="258">
        <f t="shared" si="345"/>
        <v>0</v>
      </c>
      <c r="BS171" s="258">
        <f t="shared" si="345"/>
        <v>0</v>
      </c>
      <c r="BT171" s="258">
        <f t="shared" si="345"/>
        <v>7307305.2524560001</v>
      </c>
    </row>
    <row r="172" spans="1:72" x14ac:dyDescent="0.25">
      <c r="B172" s="259"/>
      <c r="C172" s="259"/>
      <c r="D172" s="259"/>
      <c r="E172" s="259"/>
      <c r="F172" s="259"/>
      <c r="G172" s="259"/>
      <c r="H172" s="259"/>
      <c r="J172" s="259"/>
      <c r="K172" s="259"/>
      <c r="L172" s="259"/>
      <c r="M172" s="259"/>
      <c r="N172" s="259"/>
      <c r="O172" s="259"/>
      <c r="P172" s="259"/>
      <c r="R172" s="259"/>
      <c r="S172" s="259"/>
      <c r="T172" s="259"/>
      <c r="U172" s="259"/>
      <c r="V172" s="259"/>
      <c r="W172" s="259"/>
      <c r="X172" s="259"/>
      <c r="Z172" s="259"/>
      <c r="AA172" s="259"/>
      <c r="AB172" s="259"/>
      <c r="AC172" s="259"/>
      <c r="AD172" s="259"/>
      <c r="AE172" s="259"/>
      <c r="AF172" s="259"/>
      <c r="AH172" s="259"/>
      <c r="AI172" s="259"/>
      <c r="AJ172" s="259"/>
      <c r="AK172" s="259"/>
      <c r="AL172" s="259"/>
      <c r="AM172" s="259"/>
      <c r="AN172" s="259"/>
      <c r="AP172" s="259"/>
      <c r="AQ172" s="259"/>
      <c r="AR172" s="259"/>
      <c r="AS172" s="259"/>
      <c r="AT172" s="259"/>
      <c r="AU172" s="259"/>
      <c r="AV172" s="259"/>
      <c r="AX172" s="259"/>
      <c r="AY172" s="259"/>
      <c r="AZ172" s="259"/>
      <c r="BA172" s="259"/>
      <c r="BB172" s="259"/>
      <c r="BC172" s="259"/>
      <c r="BD172" s="259"/>
      <c r="BF172" s="259"/>
      <c r="BG172" s="259"/>
      <c r="BH172" s="259"/>
      <c r="BI172" s="259"/>
      <c r="BJ172" s="259"/>
      <c r="BK172" s="259"/>
      <c r="BL172" s="259"/>
      <c r="BN172" s="259"/>
      <c r="BO172" s="259"/>
      <c r="BP172" s="259"/>
      <c r="BQ172" s="259"/>
      <c r="BR172" s="259"/>
      <c r="BS172" s="259"/>
      <c r="BT172" s="259"/>
    </row>
    <row r="173" spans="1:72" x14ac:dyDescent="0.25">
      <c r="A173" s="208" t="s">
        <v>336</v>
      </c>
      <c r="B173" s="260" t="s">
        <v>309</v>
      </c>
      <c r="C173" s="260" t="s">
        <v>310</v>
      </c>
      <c r="D173" s="260" t="s">
        <v>311</v>
      </c>
      <c r="E173" s="260" t="str">
        <f>E161</f>
        <v>Other</v>
      </c>
      <c r="F173" s="260" t="s">
        <v>315</v>
      </c>
      <c r="G173" s="260" t="s">
        <v>314</v>
      </c>
      <c r="H173" s="260" t="str">
        <f>H161</f>
        <v>Horizon</v>
      </c>
      <c r="J173" s="260" t="s">
        <v>309</v>
      </c>
      <c r="K173" s="260" t="s">
        <v>310</v>
      </c>
      <c r="L173" s="260" t="s">
        <v>311</v>
      </c>
      <c r="M173" s="260" t="str">
        <f>M161</f>
        <v>Other</v>
      </c>
      <c r="N173" s="260" t="s">
        <v>315</v>
      </c>
      <c r="O173" s="260" t="s">
        <v>314</v>
      </c>
      <c r="P173" s="260" t="str">
        <f>P161</f>
        <v>Cadence</v>
      </c>
      <c r="R173" s="260" t="s">
        <v>309</v>
      </c>
      <c r="S173" s="260" t="s">
        <v>310</v>
      </c>
      <c r="T173" s="260" t="s">
        <v>311</v>
      </c>
      <c r="U173" s="260" t="str">
        <f>U161</f>
        <v>Other</v>
      </c>
      <c r="V173" s="260" t="s">
        <v>315</v>
      </c>
      <c r="W173" s="260" t="s">
        <v>314</v>
      </c>
      <c r="X173" s="260" t="str">
        <f>X161</f>
        <v>St. Rose</v>
      </c>
      <c r="Z173" s="260" t="s">
        <v>309</v>
      </c>
      <c r="AA173" s="260" t="s">
        <v>310</v>
      </c>
      <c r="AB173" s="260" t="s">
        <v>311</v>
      </c>
      <c r="AC173" s="260" t="str">
        <f>AC161</f>
        <v>Other</v>
      </c>
      <c r="AD173" s="260" t="s">
        <v>315</v>
      </c>
      <c r="AE173" s="260" t="s">
        <v>314</v>
      </c>
      <c r="AF173" s="260" t="str">
        <f>AF161</f>
        <v>Inspirada</v>
      </c>
      <c r="AH173" s="260" t="s">
        <v>309</v>
      </c>
      <c r="AI173" s="260" t="s">
        <v>310</v>
      </c>
      <c r="AJ173" s="260" t="s">
        <v>311</v>
      </c>
      <c r="AK173" s="260" t="str">
        <f>AK161</f>
        <v>Other</v>
      </c>
      <c r="AL173" s="260" t="s">
        <v>315</v>
      </c>
      <c r="AM173" s="260" t="s">
        <v>314</v>
      </c>
      <c r="AN173" s="260" t="str">
        <f>AN161</f>
        <v>Sloan</v>
      </c>
      <c r="AP173" s="260" t="s">
        <v>309</v>
      </c>
      <c r="AQ173" s="260" t="s">
        <v>310</v>
      </c>
      <c r="AR173" s="260" t="s">
        <v>311</v>
      </c>
      <c r="AS173" s="260" t="str">
        <f>AS161</f>
        <v>Other</v>
      </c>
      <c r="AT173" s="260" t="s">
        <v>315</v>
      </c>
      <c r="AU173" s="260" t="s">
        <v>314</v>
      </c>
      <c r="AV173" s="260" t="str">
        <f>AV161</f>
        <v>Springs</v>
      </c>
      <c r="AX173" s="260" t="s">
        <v>309</v>
      </c>
      <c r="AY173" s="260" t="s">
        <v>310</v>
      </c>
      <c r="AZ173" s="260" t="s">
        <v>311</v>
      </c>
      <c r="BA173" s="260" t="str">
        <f>BA161</f>
        <v>Other</v>
      </c>
      <c r="BB173" s="260" t="s">
        <v>315</v>
      </c>
      <c r="BC173" s="260" t="s">
        <v>314</v>
      </c>
      <c r="BD173" s="260" t="str">
        <f>BD161</f>
        <v>Virtual</v>
      </c>
      <c r="BF173" s="260" t="s">
        <v>309</v>
      </c>
      <c r="BG173" s="260" t="s">
        <v>310</v>
      </c>
      <c r="BH173" s="260" t="s">
        <v>311</v>
      </c>
      <c r="BI173" s="260" t="str">
        <f>BI161</f>
        <v>Other</v>
      </c>
      <c r="BJ173" s="260" t="s">
        <v>315</v>
      </c>
      <c r="BK173" s="260" t="s">
        <v>314</v>
      </c>
      <c r="BL173" s="260" t="str">
        <f>BL161</f>
        <v>Central</v>
      </c>
      <c r="BN173" s="260" t="s">
        <v>309</v>
      </c>
      <c r="BO173" s="260" t="s">
        <v>310</v>
      </c>
      <c r="BP173" s="260" t="s">
        <v>311</v>
      </c>
      <c r="BQ173" s="260" t="str">
        <f>BQ161</f>
        <v>Other</v>
      </c>
      <c r="BR173" s="260" t="s">
        <v>315</v>
      </c>
      <c r="BS173" s="260" t="s">
        <v>314</v>
      </c>
      <c r="BT173" s="260" t="str">
        <f>BT161</f>
        <v>System</v>
      </c>
    </row>
    <row r="174" spans="1:72" x14ac:dyDescent="0.25">
      <c r="A174" s="214" t="s">
        <v>275</v>
      </c>
      <c r="B174" s="241">
        <f>((1400*12)+(250*12))*1.02*1.015</f>
        <v>20498.939999999999</v>
      </c>
      <c r="C174" s="257"/>
      <c r="D174" s="257"/>
      <c r="E174" s="257"/>
      <c r="F174" s="257"/>
      <c r="G174" s="257"/>
      <c r="H174" s="241">
        <f>SUM(B174:G174)</f>
        <v>20498.939999999999</v>
      </c>
      <c r="J174" s="241">
        <f>((550*12)+(1300*12))*1.02*1.01</f>
        <v>22870.44</v>
      </c>
      <c r="K174" s="257"/>
      <c r="L174" s="257"/>
      <c r="M174" s="257"/>
      <c r="N174" s="257"/>
      <c r="O174" s="257"/>
      <c r="P174" s="241">
        <f>SUM(J174:O174)</f>
        <v>22870.44</v>
      </c>
      <c r="R174" s="241">
        <f>((300*12)+(1000*12))*1.02*1.01</f>
        <v>16071.12</v>
      </c>
      <c r="S174" s="257"/>
      <c r="T174" s="257"/>
      <c r="U174" s="257"/>
      <c r="V174" s="257"/>
      <c r="W174" s="257"/>
      <c r="X174" s="241">
        <f>SUM(R174:W174)</f>
        <v>16071.12</v>
      </c>
      <c r="Z174" s="241">
        <f>((250*12)+(2200*12))*1.02*1.01</f>
        <v>30287.88</v>
      </c>
      <c r="AA174" s="257"/>
      <c r="AB174" s="257"/>
      <c r="AC174" s="257"/>
      <c r="AD174" s="257"/>
      <c r="AE174" s="257"/>
      <c r="AF174" s="241">
        <f>SUM(Z174:AE174)</f>
        <v>30287.88</v>
      </c>
      <c r="AH174" s="241">
        <f>((500*12)+(1200*12))*1.02*1.01</f>
        <v>21016.080000000002</v>
      </c>
      <c r="AI174" s="257"/>
      <c r="AJ174" s="257"/>
      <c r="AK174" s="257"/>
      <c r="AL174" s="257"/>
      <c r="AM174" s="257"/>
      <c r="AN174" s="241">
        <f>SUM(AH174:AM174)</f>
        <v>21016.080000000002</v>
      </c>
      <c r="AP174" s="241">
        <f>12000*1.01</f>
        <v>12120</v>
      </c>
      <c r="AQ174" s="257"/>
      <c r="AR174" s="257"/>
      <c r="AS174" s="257"/>
      <c r="AT174" s="257"/>
      <c r="AU174" s="257"/>
      <c r="AV174" s="241">
        <f>SUM(AP174:AU174)</f>
        <v>12120</v>
      </c>
      <c r="AX174" s="241"/>
      <c r="AY174" s="257"/>
      <c r="AZ174" s="257"/>
      <c r="BA174" s="257"/>
      <c r="BB174" s="257"/>
      <c r="BC174" s="257"/>
      <c r="BD174" s="241">
        <f>SUM(AX174:BC174)</f>
        <v>0</v>
      </c>
      <c r="BF174" s="241"/>
      <c r="BG174" s="241"/>
      <c r="BH174" s="241"/>
      <c r="BI174" s="241"/>
      <c r="BJ174" s="241"/>
      <c r="BK174" s="241"/>
      <c r="BL174" s="241">
        <f>SUM(BF174:BK174)</f>
        <v>0</v>
      </c>
      <c r="BN174" s="241">
        <f>B174+J174+R174+Z174+AH174+AP174+AX174+BF174</f>
        <v>122864.46</v>
      </c>
      <c r="BO174" s="241">
        <f t="shared" ref="BO174:BS189" si="346">C174+K174+S174+AA174+AI174+AQ174+AY174+BG174</f>
        <v>0</v>
      </c>
      <c r="BP174" s="241">
        <f t="shared" si="346"/>
        <v>0</v>
      </c>
      <c r="BQ174" s="241">
        <f t="shared" si="346"/>
        <v>0</v>
      </c>
      <c r="BR174" s="241">
        <f t="shared" si="346"/>
        <v>0</v>
      </c>
      <c r="BS174" s="241">
        <f t="shared" si="346"/>
        <v>0</v>
      </c>
      <c r="BT174" s="241">
        <f>SUM(BN174:BS174)</f>
        <v>122864.46</v>
      </c>
    </row>
    <row r="175" spans="1:72" x14ac:dyDescent="0.25">
      <c r="A175" s="211" t="s">
        <v>276</v>
      </c>
      <c r="B175" s="241">
        <f>1000+100+100</f>
        <v>1200</v>
      </c>
      <c r="C175" s="244"/>
      <c r="D175" s="244"/>
      <c r="E175" s="244"/>
      <c r="F175" s="244"/>
      <c r="G175" s="244"/>
      <c r="H175" s="241">
        <f t="shared" ref="H175:H192" si="347">SUM(B175:G175)</f>
        <v>1200</v>
      </c>
      <c r="J175" s="241">
        <f>2000+100+100</f>
        <v>2200</v>
      </c>
      <c r="K175" s="244"/>
      <c r="L175" s="244"/>
      <c r="M175" s="244"/>
      <c r="N175" s="244"/>
      <c r="O175" s="244"/>
      <c r="P175" s="241">
        <f t="shared" ref="P175:P192" si="348">SUM(J175:O175)</f>
        <v>2200</v>
      </c>
      <c r="R175" s="241">
        <f>1250+100+100</f>
        <v>1450</v>
      </c>
      <c r="S175" s="244"/>
      <c r="T175" s="244"/>
      <c r="U175" s="244"/>
      <c r="V175" s="244"/>
      <c r="W175" s="244"/>
      <c r="X175" s="241">
        <f t="shared" ref="X175:X192" si="349">SUM(R175:W175)</f>
        <v>1450</v>
      </c>
      <c r="Z175" s="241">
        <f>1250+50+50</f>
        <v>1350</v>
      </c>
      <c r="AA175" s="244"/>
      <c r="AB175" s="244"/>
      <c r="AC175" s="244"/>
      <c r="AD175" s="244"/>
      <c r="AE175" s="244"/>
      <c r="AF175" s="241">
        <f t="shared" ref="AF175:AF192" si="350">SUM(Z175:AE175)</f>
        <v>1350</v>
      </c>
      <c r="AH175" s="241">
        <f>2000+100+100</f>
        <v>2200</v>
      </c>
      <c r="AI175" s="244"/>
      <c r="AJ175" s="244"/>
      <c r="AK175" s="244"/>
      <c r="AL175" s="244"/>
      <c r="AM175" s="244"/>
      <c r="AN175" s="241">
        <f t="shared" ref="AN175:AN192" si="351">SUM(AH175:AM175)</f>
        <v>2200</v>
      </c>
      <c r="AP175" s="241">
        <f>1500+150</f>
        <v>1650</v>
      </c>
      <c r="AQ175" s="244"/>
      <c r="AR175" s="244"/>
      <c r="AS175" s="244"/>
      <c r="AT175" s="244"/>
      <c r="AU175" s="244"/>
      <c r="AV175" s="241">
        <f t="shared" ref="AV175:AV192" si="352">SUM(AP175:AU175)</f>
        <v>1650</v>
      </c>
      <c r="AX175" s="241">
        <f>2000+250+250</f>
        <v>2500</v>
      </c>
      <c r="AY175" s="244"/>
      <c r="AZ175" s="244"/>
      <c r="BA175" s="244"/>
      <c r="BB175" s="244"/>
      <c r="BC175" s="244"/>
      <c r="BD175" s="241">
        <f t="shared" ref="BD175:BD192" si="353">SUM(AX175:BC175)</f>
        <v>2500</v>
      </c>
      <c r="BF175" s="241"/>
      <c r="BG175" s="242"/>
      <c r="BH175" s="242"/>
      <c r="BI175" s="242"/>
      <c r="BJ175" s="242"/>
      <c r="BK175" s="242"/>
      <c r="BL175" s="241">
        <f t="shared" ref="BL175:BL192" si="354">SUM(BF175:BK175)</f>
        <v>0</v>
      </c>
      <c r="BN175" s="241">
        <f t="shared" ref="BN175:BS193" si="355">B175+J175+R175+Z175+AH175+AP175+AX175+BF175</f>
        <v>12550</v>
      </c>
      <c r="BO175" s="241">
        <f t="shared" si="346"/>
        <v>0</v>
      </c>
      <c r="BP175" s="241">
        <f t="shared" si="346"/>
        <v>0</v>
      </c>
      <c r="BQ175" s="241">
        <f t="shared" si="346"/>
        <v>0</v>
      </c>
      <c r="BR175" s="241">
        <f t="shared" si="346"/>
        <v>0</v>
      </c>
      <c r="BS175" s="241">
        <f t="shared" si="346"/>
        <v>0</v>
      </c>
      <c r="BT175" s="241">
        <f t="shared" ref="BT175:BT192" si="356">SUM(BN175:BS175)</f>
        <v>12550</v>
      </c>
    </row>
    <row r="176" spans="1:72" x14ac:dyDescent="0.25">
      <c r="A176" s="211" t="s">
        <v>277</v>
      </c>
      <c r="B176" s="241">
        <f>5000+500+500</f>
        <v>6000</v>
      </c>
      <c r="C176" s="244"/>
      <c r="D176" s="244"/>
      <c r="E176" s="244"/>
      <c r="F176" s="244"/>
      <c r="G176" s="244"/>
      <c r="H176" s="241">
        <f t="shared" si="347"/>
        <v>6000</v>
      </c>
      <c r="J176" s="241">
        <f>5000+500+500</f>
        <v>6000</v>
      </c>
      <c r="K176" s="244"/>
      <c r="L176" s="244"/>
      <c r="M176" s="244"/>
      <c r="N176" s="244"/>
      <c r="O176" s="244"/>
      <c r="P176" s="241">
        <f t="shared" si="348"/>
        <v>6000</v>
      </c>
      <c r="R176" s="241">
        <f>5000+500+500</f>
        <v>6000</v>
      </c>
      <c r="S176" s="244"/>
      <c r="T176" s="244"/>
      <c r="U176" s="244"/>
      <c r="V176" s="244"/>
      <c r="W176" s="244"/>
      <c r="X176" s="241">
        <f t="shared" si="349"/>
        <v>6000</v>
      </c>
      <c r="Z176" s="241">
        <f>5000+500+500</f>
        <v>6000</v>
      </c>
      <c r="AA176" s="244"/>
      <c r="AB176" s="244"/>
      <c r="AC176" s="244"/>
      <c r="AD176" s="244"/>
      <c r="AE176" s="244"/>
      <c r="AF176" s="241">
        <f t="shared" si="350"/>
        <v>6000</v>
      </c>
      <c r="AH176" s="241">
        <f>5000+500+500</f>
        <v>6000</v>
      </c>
      <c r="AI176" s="244"/>
      <c r="AJ176" s="244"/>
      <c r="AK176" s="244"/>
      <c r="AL176" s="244"/>
      <c r="AM176" s="244"/>
      <c r="AN176" s="241">
        <f t="shared" si="351"/>
        <v>6000</v>
      </c>
      <c r="AP176" s="241">
        <f>5000+500+500</f>
        <v>6000</v>
      </c>
      <c r="AQ176" s="244"/>
      <c r="AR176" s="244"/>
      <c r="AS176" s="244"/>
      <c r="AT176" s="244"/>
      <c r="AU176" s="244"/>
      <c r="AV176" s="241">
        <f t="shared" si="352"/>
        <v>6000</v>
      </c>
      <c r="AX176" s="241">
        <f>5000+500+500</f>
        <v>6000</v>
      </c>
      <c r="AY176" s="244"/>
      <c r="AZ176" s="244"/>
      <c r="BA176" s="244"/>
      <c r="BB176" s="244"/>
      <c r="BC176" s="244"/>
      <c r="BD176" s="241">
        <f t="shared" si="353"/>
        <v>6000</v>
      </c>
      <c r="BF176" s="241"/>
      <c r="BG176" s="242"/>
      <c r="BH176" s="242"/>
      <c r="BI176" s="242"/>
      <c r="BJ176" s="242"/>
      <c r="BK176" s="242"/>
      <c r="BL176" s="241">
        <f t="shared" si="354"/>
        <v>0</v>
      </c>
      <c r="BN176" s="241">
        <f t="shared" si="355"/>
        <v>42000</v>
      </c>
      <c r="BO176" s="241">
        <f t="shared" si="346"/>
        <v>0</v>
      </c>
      <c r="BP176" s="241">
        <f t="shared" si="346"/>
        <v>0</v>
      </c>
      <c r="BQ176" s="241">
        <f t="shared" si="346"/>
        <v>0</v>
      </c>
      <c r="BR176" s="241">
        <f t="shared" si="346"/>
        <v>0</v>
      </c>
      <c r="BS176" s="241">
        <f t="shared" si="346"/>
        <v>0</v>
      </c>
      <c r="BT176" s="241">
        <f t="shared" si="356"/>
        <v>42000</v>
      </c>
    </row>
    <row r="177" spans="1:72" x14ac:dyDescent="0.25">
      <c r="A177" s="211" t="s">
        <v>278</v>
      </c>
      <c r="B177" s="241">
        <f>45000*1.03*1.03</f>
        <v>47740.5</v>
      </c>
      <c r="C177" s="244"/>
      <c r="D177" s="244"/>
      <c r="E177" s="244"/>
      <c r="F177" s="244"/>
      <c r="G177" s="244"/>
      <c r="H177" s="241">
        <f t="shared" si="347"/>
        <v>47740.5</v>
      </c>
      <c r="J177" s="241">
        <f>100000*1.03*1.03</f>
        <v>106090</v>
      </c>
      <c r="K177" s="244"/>
      <c r="L177" s="244"/>
      <c r="M177" s="244"/>
      <c r="N177" s="244"/>
      <c r="O177" s="244"/>
      <c r="P177" s="241">
        <f t="shared" si="348"/>
        <v>106090</v>
      </c>
      <c r="R177" s="241">
        <f>50000*1.04*1.03</f>
        <v>53560</v>
      </c>
      <c r="S177" s="244"/>
      <c r="T177" s="244"/>
      <c r="U177" s="244"/>
      <c r="V177" s="244"/>
      <c r="W177" s="244"/>
      <c r="X177" s="241">
        <f t="shared" si="349"/>
        <v>53560</v>
      </c>
      <c r="Z177" s="241">
        <f>60000*1.03*1.03</f>
        <v>63654</v>
      </c>
      <c r="AA177" s="244"/>
      <c r="AB177" s="244"/>
      <c r="AC177" s="244"/>
      <c r="AD177" s="244"/>
      <c r="AE177" s="244"/>
      <c r="AF177" s="241">
        <f t="shared" si="350"/>
        <v>63654</v>
      </c>
      <c r="AH177" s="241">
        <f>100000*1.03*1.03</f>
        <v>106090</v>
      </c>
      <c r="AI177" s="244"/>
      <c r="AJ177" s="244"/>
      <c r="AK177" s="244"/>
      <c r="AL177" s="244"/>
      <c r="AM177" s="244"/>
      <c r="AN177" s="241">
        <f t="shared" si="351"/>
        <v>106090</v>
      </c>
      <c r="AP177" s="241">
        <f>30000*1.03</f>
        <v>30900</v>
      </c>
      <c r="AQ177" s="244"/>
      <c r="AR177" s="244"/>
      <c r="AS177" s="244"/>
      <c r="AT177" s="244"/>
      <c r="AU177" s="244"/>
      <c r="AV177" s="241">
        <f t="shared" si="352"/>
        <v>30900</v>
      </c>
      <c r="AX177" s="241">
        <f>7500+500+500</f>
        <v>8500</v>
      </c>
      <c r="AY177" s="244"/>
      <c r="AZ177" s="244"/>
      <c r="BA177" s="244"/>
      <c r="BB177" s="244"/>
      <c r="BC177" s="244"/>
      <c r="BD177" s="241">
        <f t="shared" si="353"/>
        <v>8500</v>
      </c>
      <c r="BF177" s="241"/>
      <c r="BG177" s="242"/>
      <c r="BH177" s="242"/>
      <c r="BI177" s="242"/>
      <c r="BJ177" s="242"/>
      <c r="BK177" s="242"/>
      <c r="BL177" s="241">
        <f t="shared" si="354"/>
        <v>0</v>
      </c>
      <c r="BN177" s="241">
        <f t="shared" si="355"/>
        <v>416534.5</v>
      </c>
      <c r="BO177" s="241">
        <f t="shared" si="346"/>
        <v>0</v>
      </c>
      <c r="BP177" s="241">
        <f t="shared" si="346"/>
        <v>0</v>
      </c>
      <c r="BQ177" s="241">
        <f t="shared" si="346"/>
        <v>0</v>
      </c>
      <c r="BR177" s="241">
        <f t="shared" si="346"/>
        <v>0</v>
      </c>
      <c r="BS177" s="241">
        <f t="shared" si="346"/>
        <v>0</v>
      </c>
      <c r="BT177" s="241">
        <f t="shared" si="356"/>
        <v>416534.5</v>
      </c>
    </row>
    <row r="178" spans="1:72" x14ac:dyDescent="0.25">
      <c r="A178" s="211" t="s">
        <v>279</v>
      </c>
      <c r="B178" s="241">
        <f>((2+2.5+0.4+1.95)*B17)*1.03*1.02</f>
        <v>6671.2574700000014</v>
      </c>
      <c r="C178" s="244"/>
      <c r="D178" s="244"/>
      <c r="E178" s="244"/>
      <c r="F178" s="244"/>
      <c r="G178" s="244"/>
      <c r="H178" s="241">
        <f t="shared" si="347"/>
        <v>6671.2574700000014</v>
      </c>
      <c r="J178" s="241">
        <f>((2+2.5+0.4+1.95)*J17)*1.03*1.02</f>
        <v>18092.277540000003</v>
      </c>
      <c r="K178" s="244"/>
      <c r="L178" s="244"/>
      <c r="M178" s="244"/>
      <c r="N178" s="244"/>
      <c r="O178" s="244"/>
      <c r="P178" s="241">
        <f t="shared" si="348"/>
        <v>18092.277540000003</v>
      </c>
      <c r="R178" s="241">
        <f>((2+2.5+0.4+1.95)*R17)*1.03*1.02</f>
        <v>7412.5083000000013</v>
      </c>
      <c r="S178" s="244"/>
      <c r="T178" s="244"/>
      <c r="U178" s="244"/>
      <c r="V178" s="244"/>
      <c r="W178" s="244"/>
      <c r="X178" s="241">
        <f t="shared" si="349"/>
        <v>7412.5083000000013</v>
      </c>
      <c r="Z178" s="241">
        <f>((2+2.5+0.4+1.95)*Z17)*1.02*1.02</f>
        <v>8537.8345200000022</v>
      </c>
      <c r="AA178" s="244"/>
      <c r="AB178" s="244"/>
      <c r="AC178" s="244"/>
      <c r="AD178" s="244"/>
      <c r="AE178" s="244"/>
      <c r="AF178" s="241">
        <f t="shared" si="350"/>
        <v>8537.8345200000022</v>
      </c>
      <c r="AH178" s="241">
        <f>((2+2.5+0.4+1.95)*AH17)*1.02*1.02</f>
        <v>18101.919600000001</v>
      </c>
      <c r="AI178" s="244"/>
      <c r="AJ178" s="244"/>
      <c r="AK178" s="244"/>
      <c r="AL178" s="244"/>
      <c r="AM178" s="244"/>
      <c r="AN178" s="241">
        <f t="shared" si="351"/>
        <v>18101.919600000001</v>
      </c>
      <c r="AP178" s="241">
        <f>((2+2.5+0.4+1.95)*AP17)*1.02*1.02</f>
        <v>5801.1663600000011</v>
      </c>
      <c r="AQ178" s="244"/>
      <c r="AR178" s="244"/>
      <c r="AS178" s="244"/>
      <c r="AT178" s="244"/>
      <c r="AU178" s="244"/>
      <c r="AV178" s="241">
        <f t="shared" si="352"/>
        <v>5801.1663600000011</v>
      </c>
      <c r="AX178" s="241">
        <f>((2+2.5+0.4+1.95)*AX17)*1.01*1.03</f>
        <v>1296.9420100000002</v>
      </c>
      <c r="AY178" s="244"/>
      <c r="AZ178" s="244"/>
      <c r="BA178" s="244"/>
      <c r="BB178" s="244"/>
      <c r="BC178" s="244"/>
      <c r="BD178" s="241">
        <f t="shared" si="353"/>
        <v>1296.9420100000002</v>
      </c>
      <c r="BF178" s="241"/>
      <c r="BG178" s="242"/>
      <c r="BH178" s="242"/>
      <c r="BI178" s="242"/>
      <c r="BJ178" s="242"/>
      <c r="BK178" s="242"/>
      <c r="BL178" s="241">
        <f t="shared" si="354"/>
        <v>0</v>
      </c>
      <c r="BN178" s="241">
        <f t="shared" si="355"/>
        <v>65913.905800000008</v>
      </c>
      <c r="BO178" s="241">
        <f t="shared" si="346"/>
        <v>0</v>
      </c>
      <c r="BP178" s="241">
        <f t="shared" si="346"/>
        <v>0</v>
      </c>
      <c r="BQ178" s="241">
        <f t="shared" si="346"/>
        <v>0</v>
      </c>
      <c r="BR178" s="241">
        <f t="shared" si="346"/>
        <v>0</v>
      </c>
      <c r="BS178" s="241">
        <f t="shared" si="346"/>
        <v>0</v>
      </c>
      <c r="BT178" s="241">
        <f t="shared" si="356"/>
        <v>65913.905800000008</v>
      </c>
    </row>
    <row r="179" spans="1:72" x14ac:dyDescent="0.25">
      <c r="A179" s="211" t="s">
        <v>280</v>
      </c>
      <c r="B179" s="241">
        <f>71000*1.15*1.12</f>
        <v>91448.000000000015</v>
      </c>
      <c r="C179" s="244"/>
      <c r="D179" s="244"/>
      <c r="E179" s="244"/>
      <c r="F179" s="244"/>
      <c r="G179" s="244"/>
      <c r="H179" s="241">
        <f t="shared" si="347"/>
        <v>91448.000000000015</v>
      </c>
      <c r="J179" s="241">
        <f>194000*1.15*1.12</f>
        <v>249872</v>
      </c>
      <c r="K179" s="244"/>
      <c r="L179" s="244"/>
      <c r="M179" s="244"/>
      <c r="N179" s="244"/>
      <c r="O179" s="244"/>
      <c r="P179" s="241">
        <f t="shared" si="348"/>
        <v>249872</v>
      </c>
      <c r="R179" s="241">
        <f>80500*1.15*1.12</f>
        <v>103684.00000000001</v>
      </c>
      <c r="S179" s="244"/>
      <c r="T179" s="244"/>
      <c r="U179" s="244"/>
      <c r="V179" s="244"/>
      <c r="W179" s="244"/>
      <c r="X179" s="241">
        <f t="shared" si="349"/>
        <v>103684.00000000001</v>
      </c>
      <c r="Z179" s="241">
        <f>92500*1.15*1.12</f>
        <v>119140</v>
      </c>
      <c r="AA179" s="244"/>
      <c r="AB179" s="244"/>
      <c r="AC179" s="244"/>
      <c r="AD179" s="244"/>
      <c r="AE179" s="244"/>
      <c r="AF179" s="241">
        <f t="shared" si="350"/>
        <v>119140</v>
      </c>
      <c r="AH179" s="241">
        <f>188500*1.15*1.12</f>
        <v>242788</v>
      </c>
      <c r="AI179" s="244"/>
      <c r="AJ179" s="244"/>
      <c r="AK179" s="244"/>
      <c r="AL179" s="244"/>
      <c r="AM179" s="244"/>
      <c r="AN179" s="241">
        <f t="shared" si="351"/>
        <v>242788</v>
      </c>
      <c r="AP179" s="241">
        <v>80000</v>
      </c>
      <c r="AQ179" s="244"/>
      <c r="AR179" s="244"/>
      <c r="AS179" s="244"/>
      <c r="AT179" s="244"/>
      <c r="AU179" s="244"/>
      <c r="AV179" s="241">
        <f t="shared" si="352"/>
        <v>80000</v>
      </c>
      <c r="AX179" s="241">
        <f>11000*1.15*1.12</f>
        <v>14168</v>
      </c>
      <c r="AY179" s="244"/>
      <c r="AZ179" s="244"/>
      <c r="BA179" s="244"/>
      <c r="BB179" s="244"/>
      <c r="BC179" s="244"/>
      <c r="BD179" s="241">
        <f t="shared" si="353"/>
        <v>14168</v>
      </c>
      <c r="BF179" s="241"/>
      <c r="BG179" s="242"/>
      <c r="BH179" s="242"/>
      <c r="BI179" s="242"/>
      <c r="BJ179" s="242"/>
      <c r="BK179" s="242"/>
      <c r="BL179" s="241">
        <f t="shared" si="354"/>
        <v>0</v>
      </c>
      <c r="BN179" s="241">
        <f t="shared" si="355"/>
        <v>901100</v>
      </c>
      <c r="BO179" s="241">
        <f t="shared" si="346"/>
        <v>0</v>
      </c>
      <c r="BP179" s="241">
        <f t="shared" si="346"/>
        <v>0</v>
      </c>
      <c r="BQ179" s="241">
        <f t="shared" si="346"/>
        <v>0</v>
      </c>
      <c r="BR179" s="241">
        <f t="shared" si="346"/>
        <v>0</v>
      </c>
      <c r="BS179" s="241">
        <f t="shared" si="346"/>
        <v>0</v>
      </c>
      <c r="BT179" s="241">
        <f t="shared" si="356"/>
        <v>901100</v>
      </c>
    </row>
    <row r="180" spans="1:72" x14ac:dyDescent="0.25">
      <c r="A180" s="211" t="s">
        <v>281</v>
      </c>
      <c r="B180" s="241">
        <v>0</v>
      </c>
      <c r="C180" s="244"/>
      <c r="D180" s="242">
        <f>125*2.3*180</f>
        <v>51750</v>
      </c>
      <c r="E180" s="244"/>
      <c r="F180" s="244"/>
      <c r="G180" s="244"/>
      <c r="H180" s="241">
        <f t="shared" si="347"/>
        <v>51750</v>
      </c>
      <c r="J180" s="241">
        <v>0</v>
      </c>
      <c r="K180" s="244"/>
      <c r="L180" s="242">
        <f>200*2.3*180</f>
        <v>82799.999999999985</v>
      </c>
      <c r="M180" s="244"/>
      <c r="N180" s="244"/>
      <c r="O180" s="244"/>
      <c r="P180" s="241">
        <f t="shared" si="348"/>
        <v>82799.999999999985</v>
      </c>
      <c r="R180" s="241">
        <v>0</v>
      </c>
      <c r="S180" s="244"/>
      <c r="T180" s="242">
        <v>0</v>
      </c>
      <c r="U180" s="244"/>
      <c r="V180" s="244"/>
      <c r="W180" s="244"/>
      <c r="X180" s="241">
        <f t="shared" si="349"/>
        <v>0</v>
      </c>
      <c r="Z180" s="241">
        <v>0</v>
      </c>
      <c r="AA180" s="244"/>
      <c r="AB180" s="244"/>
      <c r="AC180" s="244"/>
      <c r="AD180" s="244"/>
      <c r="AE180" s="244"/>
      <c r="AF180" s="241">
        <f t="shared" si="350"/>
        <v>0</v>
      </c>
      <c r="AH180" s="241">
        <v>0</v>
      </c>
      <c r="AI180" s="244"/>
      <c r="AJ180" s="242">
        <v>0</v>
      </c>
      <c r="AK180" s="244"/>
      <c r="AL180" s="244"/>
      <c r="AM180" s="244"/>
      <c r="AN180" s="241">
        <f t="shared" si="351"/>
        <v>0</v>
      </c>
      <c r="AP180" s="241">
        <v>0</v>
      </c>
      <c r="AQ180" s="244"/>
      <c r="AR180" s="242">
        <f>250*2.3*180</f>
        <v>103500</v>
      </c>
      <c r="AS180" s="244"/>
      <c r="AT180" s="244"/>
      <c r="AU180" s="244"/>
      <c r="AV180" s="241">
        <f t="shared" si="352"/>
        <v>103500</v>
      </c>
      <c r="AX180" s="241">
        <v>0</v>
      </c>
      <c r="AY180" s="244"/>
      <c r="AZ180" s="244">
        <v>0</v>
      </c>
      <c r="BA180" s="244"/>
      <c r="BB180" s="244"/>
      <c r="BC180" s="244"/>
      <c r="BD180" s="241">
        <f t="shared" si="353"/>
        <v>0</v>
      </c>
      <c r="BF180" s="241"/>
      <c r="BG180" s="242"/>
      <c r="BH180" s="242"/>
      <c r="BI180" s="242"/>
      <c r="BJ180" s="242"/>
      <c r="BK180" s="242"/>
      <c r="BL180" s="241">
        <f t="shared" si="354"/>
        <v>0</v>
      </c>
      <c r="BN180" s="241">
        <f t="shared" si="355"/>
        <v>0</v>
      </c>
      <c r="BO180" s="241">
        <f t="shared" si="346"/>
        <v>0</v>
      </c>
      <c r="BP180" s="241">
        <f t="shared" si="346"/>
        <v>238050</v>
      </c>
      <c r="BQ180" s="241">
        <f t="shared" si="346"/>
        <v>0</v>
      </c>
      <c r="BR180" s="241">
        <f t="shared" si="346"/>
        <v>0</v>
      </c>
      <c r="BS180" s="241">
        <f t="shared" si="346"/>
        <v>0</v>
      </c>
      <c r="BT180" s="241">
        <f t="shared" si="356"/>
        <v>238050</v>
      </c>
    </row>
    <row r="181" spans="1:72" x14ac:dyDescent="0.25">
      <c r="A181" s="211" t="s">
        <v>282</v>
      </c>
      <c r="B181" s="241">
        <v>0</v>
      </c>
      <c r="C181" s="244"/>
      <c r="D181" s="242">
        <f>3.7*250*180</f>
        <v>166500</v>
      </c>
      <c r="E181" s="244"/>
      <c r="F181" s="244"/>
      <c r="G181" s="244"/>
      <c r="H181" s="241">
        <f t="shared" si="347"/>
        <v>166500</v>
      </c>
      <c r="J181" s="241">
        <v>0</v>
      </c>
      <c r="K181" s="244"/>
      <c r="L181" s="242">
        <f>3.7*525*180</f>
        <v>349650</v>
      </c>
      <c r="M181" s="244"/>
      <c r="N181" s="244"/>
      <c r="O181" s="244"/>
      <c r="P181" s="241">
        <f t="shared" si="348"/>
        <v>349650</v>
      </c>
      <c r="R181" s="241">
        <v>0</v>
      </c>
      <c r="S181" s="244"/>
      <c r="T181" s="242">
        <f>(165*3.7*180)</f>
        <v>109890</v>
      </c>
      <c r="U181" s="244"/>
      <c r="V181" s="244"/>
      <c r="W181" s="244"/>
      <c r="X181" s="241">
        <f t="shared" si="349"/>
        <v>109890</v>
      </c>
      <c r="Z181" s="241">
        <v>0</v>
      </c>
      <c r="AA181" s="244"/>
      <c r="AB181" s="242">
        <f>(105*3.7*180)</f>
        <v>69930</v>
      </c>
      <c r="AC181" s="244"/>
      <c r="AD181" s="244"/>
      <c r="AE181" s="244"/>
      <c r="AF181" s="241">
        <f t="shared" si="350"/>
        <v>69930</v>
      </c>
      <c r="AH181" s="241">
        <v>0</v>
      </c>
      <c r="AI181" s="244"/>
      <c r="AJ181" s="242">
        <f>(275*3.7*180)</f>
        <v>183150</v>
      </c>
      <c r="AK181" s="244"/>
      <c r="AL181" s="244"/>
      <c r="AM181" s="244"/>
      <c r="AN181" s="241">
        <f t="shared" si="351"/>
        <v>183150</v>
      </c>
      <c r="AP181" s="241">
        <v>0</v>
      </c>
      <c r="AQ181" s="244"/>
      <c r="AR181" s="242">
        <f>3.7*600*180</f>
        <v>399600</v>
      </c>
      <c r="AS181" s="244"/>
      <c r="AT181" s="244"/>
      <c r="AU181" s="244"/>
      <c r="AV181" s="241">
        <f t="shared" si="352"/>
        <v>399600</v>
      </c>
      <c r="AX181" s="241">
        <v>0</v>
      </c>
      <c r="AY181" s="244"/>
      <c r="AZ181" s="243"/>
      <c r="BA181" s="244"/>
      <c r="BB181" s="244"/>
      <c r="BC181" s="244"/>
      <c r="BD181" s="241">
        <f t="shared" si="353"/>
        <v>0</v>
      </c>
      <c r="BF181" s="241"/>
      <c r="BG181" s="242"/>
      <c r="BH181" s="242"/>
      <c r="BI181" s="242"/>
      <c r="BJ181" s="242"/>
      <c r="BK181" s="242"/>
      <c r="BL181" s="241">
        <f t="shared" si="354"/>
        <v>0</v>
      </c>
      <c r="BN181" s="241">
        <f t="shared" si="355"/>
        <v>0</v>
      </c>
      <c r="BO181" s="241">
        <f t="shared" si="346"/>
        <v>0</v>
      </c>
      <c r="BP181" s="241">
        <f t="shared" si="346"/>
        <v>1278720</v>
      </c>
      <c r="BQ181" s="241">
        <f t="shared" si="346"/>
        <v>0</v>
      </c>
      <c r="BR181" s="241">
        <f t="shared" si="346"/>
        <v>0</v>
      </c>
      <c r="BS181" s="241">
        <f t="shared" si="346"/>
        <v>0</v>
      </c>
      <c r="BT181" s="241">
        <f t="shared" si="356"/>
        <v>1278720</v>
      </c>
    </row>
    <row r="182" spans="1:72" x14ac:dyDescent="0.25">
      <c r="A182" s="211" t="s">
        <v>283</v>
      </c>
      <c r="B182" s="241">
        <f>7500+500+500</f>
        <v>8500</v>
      </c>
      <c r="C182" s="244"/>
      <c r="D182" s="242"/>
      <c r="E182" s="244"/>
      <c r="F182" s="244"/>
      <c r="G182" s="244"/>
      <c r="H182" s="241">
        <f t="shared" si="347"/>
        <v>8500</v>
      </c>
      <c r="J182" s="241">
        <f>12000+250</f>
        <v>12250</v>
      </c>
      <c r="K182" s="244"/>
      <c r="L182" s="244"/>
      <c r="M182" s="244"/>
      <c r="N182" s="244"/>
      <c r="O182" s="244"/>
      <c r="P182" s="241">
        <f t="shared" si="348"/>
        <v>12250</v>
      </c>
      <c r="R182" s="241">
        <f>7500+250+200</f>
        <v>7950</v>
      </c>
      <c r="S182" s="244"/>
      <c r="T182" s="244"/>
      <c r="U182" s="244"/>
      <c r="V182" s="244"/>
      <c r="W182" s="244"/>
      <c r="X182" s="241">
        <f t="shared" si="349"/>
        <v>7950</v>
      </c>
      <c r="Z182" s="241">
        <f>7500+250+250</f>
        <v>8000</v>
      </c>
      <c r="AA182" s="244"/>
      <c r="AB182" s="244"/>
      <c r="AC182" s="244"/>
      <c r="AD182" s="244"/>
      <c r="AE182" s="244"/>
      <c r="AF182" s="241">
        <f t="shared" si="350"/>
        <v>8000</v>
      </c>
      <c r="AH182" s="241">
        <f>7500+250+250</f>
        <v>8000</v>
      </c>
      <c r="AI182" s="244"/>
      <c r="AJ182" s="244"/>
      <c r="AK182" s="244"/>
      <c r="AL182" s="244"/>
      <c r="AM182" s="244"/>
      <c r="AN182" s="241">
        <f t="shared" si="351"/>
        <v>8000</v>
      </c>
      <c r="AP182" s="241">
        <f>10000+500</f>
        <v>10500</v>
      </c>
      <c r="AQ182" s="244"/>
      <c r="AR182" s="244"/>
      <c r="AS182" s="244"/>
      <c r="AT182" s="244"/>
      <c r="AU182" s="244"/>
      <c r="AV182" s="241">
        <f t="shared" si="352"/>
        <v>10500</v>
      </c>
      <c r="AX182" s="241">
        <f>12500+500+500</f>
        <v>13500</v>
      </c>
      <c r="AY182" s="244"/>
      <c r="AZ182" s="244"/>
      <c r="BA182" s="244"/>
      <c r="BB182" s="244"/>
      <c r="BC182" s="244"/>
      <c r="BD182" s="241">
        <f t="shared" si="353"/>
        <v>13500</v>
      </c>
      <c r="BF182" s="241"/>
      <c r="BG182" s="242"/>
      <c r="BH182" s="242"/>
      <c r="BI182" s="242"/>
      <c r="BJ182" s="242"/>
      <c r="BK182" s="242"/>
      <c r="BL182" s="241">
        <f t="shared" si="354"/>
        <v>0</v>
      </c>
      <c r="BN182" s="241">
        <f t="shared" si="355"/>
        <v>68700</v>
      </c>
      <c r="BO182" s="241">
        <f t="shared" si="346"/>
        <v>0</v>
      </c>
      <c r="BP182" s="241">
        <f t="shared" si="346"/>
        <v>0</v>
      </c>
      <c r="BQ182" s="241">
        <f t="shared" si="346"/>
        <v>0</v>
      </c>
      <c r="BR182" s="241">
        <f t="shared" si="346"/>
        <v>0</v>
      </c>
      <c r="BS182" s="241">
        <f t="shared" si="346"/>
        <v>0</v>
      </c>
      <c r="BT182" s="241">
        <f t="shared" si="356"/>
        <v>68700</v>
      </c>
    </row>
    <row r="183" spans="1:72" x14ac:dyDescent="0.25">
      <c r="A183" s="211" t="s">
        <v>284</v>
      </c>
      <c r="B183" s="241">
        <f>2000+250+250</f>
        <v>2500</v>
      </c>
      <c r="C183" s="244"/>
      <c r="D183" s="244"/>
      <c r="E183" s="244"/>
      <c r="F183" s="244"/>
      <c r="G183" s="244"/>
      <c r="H183" s="241">
        <f t="shared" si="347"/>
        <v>2500</v>
      </c>
      <c r="J183" s="241">
        <f>2300+100</f>
        <v>2400</v>
      </c>
      <c r="K183" s="244"/>
      <c r="L183" s="244"/>
      <c r="M183" s="244"/>
      <c r="N183" s="244"/>
      <c r="O183" s="244"/>
      <c r="P183" s="241">
        <f t="shared" si="348"/>
        <v>2400</v>
      </c>
      <c r="R183" s="241">
        <f>2000+250+150</f>
        <v>2400</v>
      </c>
      <c r="S183" s="244"/>
      <c r="T183" s="244"/>
      <c r="U183" s="244"/>
      <c r="V183" s="244"/>
      <c r="W183" s="244"/>
      <c r="X183" s="241">
        <f t="shared" si="349"/>
        <v>2400</v>
      </c>
      <c r="Z183" s="241">
        <f>2000+100+100</f>
        <v>2200</v>
      </c>
      <c r="AA183" s="244"/>
      <c r="AB183" s="244"/>
      <c r="AC183" s="244"/>
      <c r="AD183" s="244"/>
      <c r="AE183" s="244"/>
      <c r="AF183" s="241">
        <f t="shared" si="350"/>
        <v>2200</v>
      </c>
      <c r="AH183" s="241">
        <f>2500+150+150</f>
        <v>2800</v>
      </c>
      <c r="AI183" s="244"/>
      <c r="AJ183" s="244"/>
      <c r="AK183" s="244"/>
      <c r="AL183" s="244"/>
      <c r="AM183" s="244"/>
      <c r="AN183" s="241">
        <f t="shared" si="351"/>
        <v>2800</v>
      </c>
      <c r="AP183" s="241">
        <f>2000+350</f>
        <v>2350</v>
      </c>
      <c r="AQ183" s="244"/>
      <c r="AR183" s="244"/>
      <c r="AS183" s="244"/>
      <c r="AT183" s="244"/>
      <c r="AU183" s="244"/>
      <c r="AV183" s="241">
        <f t="shared" si="352"/>
        <v>2350</v>
      </c>
      <c r="AX183" s="241">
        <f>750+150+150</f>
        <v>1050</v>
      </c>
      <c r="AY183" s="244"/>
      <c r="AZ183" s="244"/>
      <c r="BA183" s="244"/>
      <c r="BB183" s="244"/>
      <c r="BC183" s="244"/>
      <c r="BD183" s="241">
        <f t="shared" si="353"/>
        <v>1050</v>
      </c>
      <c r="BF183" s="241">
        <f>8500+500</f>
        <v>9000</v>
      </c>
      <c r="BG183" s="242"/>
      <c r="BH183" s="242"/>
      <c r="BI183" s="242"/>
      <c r="BJ183" s="242"/>
      <c r="BK183" s="242"/>
      <c r="BL183" s="241">
        <f t="shared" si="354"/>
        <v>9000</v>
      </c>
      <c r="BN183" s="241">
        <f t="shared" si="355"/>
        <v>24700</v>
      </c>
      <c r="BO183" s="241">
        <f t="shared" si="346"/>
        <v>0</v>
      </c>
      <c r="BP183" s="241">
        <f t="shared" si="346"/>
        <v>0</v>
      </c>
      <c r="BQ183" s="241">
        <f t="shared" si="346"/>
        <v>0</v>
      </c>
      <c r="BR183" s="241">
        <f t="shared" si="346"/>
        <v>0</v>
      </c>
      <c r="BS183" s="241">
        <f t="shared" si="346"/>
        <v>0</v>
      </c>
      <c r="BT183" s="241">
        <f t="shared" si="356"/>
        <v>24700</v>
      </c>
    </row>
    <row r="184" spans="1:72" x14ac:dyDescent="0.25">
      <c r="A184" s="211" t="s">
        <v>285</v>
      </c>
      <c r="B184" s="241">
        <f>1000+50+50</f>
        <v>1100</v>
      </c>
      <c r="C184" s="244"/>
      <c r="D184" s="244"/>
      <c r="E184" s="244"/>
      <c r="F184" s="244"/>
      <c r="G184" s="244"/>
      <c r="H184" s="241">
        <f t="shared" si="347"/>
        <v>1100</v>
      </c>
      <c r="J184" s="241">
        <f>2100+100</f>
        <v>2200</v>
      </c>
      <c r="K184" s="244"/>
      <c r="L184" s="244"/>
      <c r="M184" s="244"/>
      <c r="N184" s="244"/>
      <c r="O184" s="244"/>
      <c r="P184" s="241">
        <f t="shared" si="348"/>
        <v>2200</v>
      </c>
      <c r="R184" s="241">
        <f>1000+100+50</f>
        <v>1150</v>
      </c>
      <c r="S184" s="244"/>
      <c r="T184" s="244"/>
      <c r="U184" s="244"/>
      <c r="V184" s="244"/>
      <c r="W184" s="244"/>
      <c r="X184" s="241">
        <f t="shared" si="349"/>
        <v>1150</v>
      </c>
      <c r="Z184" s="241">
        <f>1000+50+50</f>
        <v>1100</v>
      </c>
      <c r="AA184" s="244"/>
      <c r="AB184" s="244"/>
      <c r="AC184" s="244"/>
      <c r="AD184" s="244"/>
      <c r="AE184" s="244"/>
      <c r="AF184" s="241">
        <f t="shared" si="350"/>
        <v>1100</v>
      </c>
      <c r="AH184" s="241">
        <f>1200+50+75</f>
        <v>1325</v>
      </c>
      <c r="AI184" s="244"/>
      <c r="AJ184" s="244"/>
      <c r="AK184" s="244"/>
      <c r="AL184" s="244"/>
      <c r="AM184" s="244"/>
      <c r="AN184" s="241">
        <f t="shared" si="351"/>
        <v>1325</v>
      </c>
      <c r="AP184" s="241">
        <f>1200+75</f>
        <v>1275</v>
      </c>
      <c r="AQ184" s="244"/>
      <c r="AR184" s="244"/>
      <c r="AS184" s="244"/>
      <c r="AT184" s="244"/>
      <c r="AU184" s="244"/>
      <c r="AV184" s="241">
        <f t="shared" si="352"/>
        <v>1275</v>
      </c>
      <c r="AX184" s="241">
        <f>500+50+75</f>
        <v>625</v>
      </c>
      <c r="AY184" s="244"/>
      <c r="AZ184" s="244"/>
      <c r="BA184" s="244"/>
      <c r="BB184" s="244"/>
      <c r="BC184" s="244"/>
      <c r="BD184" s="241">
        <f t="shared" si="353"/>
        <v>625</v>
      </c>
      <c r="BF184" s="241"/>
      <c r="BG184" s="242"/>
      <c r="BH184" s="242"/>
      <c r="BI184" s="242"/>
      <c r="BJ184" s="242"/>
      <c r="BK184" s="242"/>
      <c r="BL184" s="241">
        <f t="shared" si="354"/>
        <v>0</v>
      </c>
      <c r="BN184" s="241">
        <f t="shared" si="355"/>
        <v>8775</v>
      </c>
      <c r="BO184" s="241">
        <f t="shared" si="346"/>
        <v>0</v>
      </c>
      <c r="BP184" s="241">
        <f t="shared" si="346"/>
        <v>0</v>
      </c>
      <c r="BQ184" s="241">
        <f t="shared" si="346"/>
        <v>0</v>
      </c>
      <c r="BR184" s="241">
        <f t="shared" si="346"/>
        <v>0</v>
      </c>
      <c r="BS184" s="241">
        <f t="shared" si="346"/>
        <v>0</v>
      </c>
      <c r="BT184" s="241">
        <f t="shared" si="356"/>
        <v>8775</v>
      </c>
    </row>
    <row r="185" spans="1:72" x14ac:dyDescent="0.25">
      <c r="A185" s="211" t="s">
        <v>286</v>
      </c>
      <c r="B185" s="244">
        <f>((9*950)+1200+3500+4500)*1.01*1.01</f>
        <v>18106.775000000001</v>
      </c>
      <c r="C185" s="244"/>
      <c r="D185" s="244"/>
      <c r="E185" s="244"/>
      <c r="F185" s="244"/>
      <c r="G185" s="244"/>
      <c r="H185" s="241">
        <f t="shared" si="347"/>
        <v>18106.775000000001</v>
      </c>
      <c r="J185" s="244">
        <f>((9*2500)+1200+3500+6500+7500)*1.01*1.01</f>
        <v>42028.12</v>
      </c>
      <c r="K185" s="244"/>
      <c r="L185" s="244"/>
      <c r="M185" s="244"/>
      <c r="N185" s="244"/>
      <c r="O185" s="244"/>
      <c r="P185" s="241">
        <f t="shared" si="348"/>
        <v>42028.12</v>
      </c>
      <c r="R185" s="244">
        <f>((9*1050)+1200+3500+4500)*1.01*1.01</f>
        <v>19024.865000000002</v>
      </c>
      <c r="S185" s="244"/>
      <c r="T185" s="244"/>
      <c r="U185" s="244"/>
      <c r="V185" s="244"/>
      <c r="W185" s="244"/>
      <c r="X185" s="241">
        <f t="shared" si="349"/>
        <v>19024.865000000002</v>
      </c>
      <c r="Z185" s="244">
        <f>((9*1200)+1200+3500+4500)*1.01*1.01</f>
        <v>20402</v>
      </c>
      <c r="AA185" s="244"/>
      <c r="AB185" s="244"/>
      <c r="AC185" s="244"/>
      <c r="AD185" s="244"/>
      <c r="AE185" s="244"/>
      <c r="AF185" s="241">
        <f t="shared" si="350"/>
        <v>20402</v>
      </c>
      <c r="AH185" s="244">
        <f>((9*2500)+1200+3500+7500+5000)*1.01*1.01</f>
        <v>40497.97</v>
      </c>
      <c r="AI185" s="244"/>
      <c r="AJ185" s="244"/>
      <c r="AK185" s="244"/>
      <c r="AL185" s="244"/>
      <c r="AM185" s="244"/>
      <c r="AN185" s="241">
        <f t="shared" si="351"/>
        <v>40497.97</v>
      </c>
      <c r="AP185" s="244">
        <f>((9*AP17)+1200+2500+3500+2500)*1.01</f>
        <v>17196.259999999998</v>
      </c>
      <c r="AQ185" s="244"/>
      <c r="AR185" s="244"/>
      <c r="AS185" s="244"/>
      <c r="AT185" s="244"/>
      <c r="AU185" s="244"/>
      <c r="AV185" s="241">
        <f t="shared" si="352"/>
        <v>17196.259999999998</v>
      </c>
      <c r="AX185" s="244">
        <f>(9*350)+1200+2500</f>
        <v>6850</v>
      </c>
      <c r="AY185" s="244"/>
      <c r="AZ185" s="244"/>
      <c r="BA185" s="244"/>
      <c r="BB185" s="244"/>
      <c r="BC185" s="244"/>
      <c r="BD185" s="241">
        <f t="shared" si="353"/>
        <v>6850</v>
      </c>
      <c r="BF185" s="242">
        <f>1600*12</f>
        <v>19200</v>
      </c>
      <c r="BG185" s="242"/>
      <c r="BH185" s="242"/>
      <c r="BI185" s="242"/>
      <c r="BJ185" s="242"/>
      <c r="BK185" s="242"/>
      <c r="BL185" s="241">
        <f t="shared" si="354"/>
        <v>19200</v>
      </c>
      <c r="BN185" s="241">
        <f t="shared" si="355"/>
        <v>183305.99000000002</v>
      </c>
      <c r="BO185" s="241">
        <f t="shared" si="346"/>
        <v>0</v>
      </c>
      <c r="BP185" s="241">
        <f t="shared" si="346"/>
        <v>0</v>
      </c>
      <c r="BQ185" s="241">
        <f t="shared" si="346"/>
        <v>0</v>
      </c>
      <c r="BR185" s="241">
        <f t="shared" si="346"/>
        <v>0</v>
      </c>
      <c r="BS185" s="241">
        <f t="shared" si="346"/>
        <v>0</v>
      </c>
      <c r="BT185" s="241">
        <f t="shared" si="356"/>
        <v>183305.99000000002</v>
      </c>
    </row>
    <row r="186" spans="1:72" x14ac:dyDescent="0.25">
      <c r="A186" s="211" t="s">
        <v>264</v>
      </c>
      <c r="B186" s="244"/>
      <c r="C186" s="244"/>
      <c r="D186" s="244"/>
      <c r="E186" s="244"/>
      <c r="F186" s="244"/>
      <c r="G186" s="244"/>
      <c r="H186" s="241">
        <f t="shared" si="347"/>
        <v>0</v>
      </c>
      <c r="J186" s="244">
        <f>52500+2500</f>
        <v>55000</v>
      </c>
      <c r="K186" s="244"/>
      <c r="L186" s="244"/>
      <c r="M186" s="244"/>
      <c r="N186" s="244"/>
      <c r="O186" s="244"/>
      <c r="P186" s="241">
        <f t="shared" si="348"/>
        <v>55000</v>
      </c>
      <c r="R186" s="244"/>
      <c r="S186" s="244"/>
      <c r="T186" s="244"/>
      <c r="U186" s="244"/>
      <c r="V186" s="244"/>
      <c r="W186" s="244"/>
      <c r="X186" s="241">
        <f t="shared" si="349"/>
        <v>0</v>
      </c>
      <c r="Z186" s="244"/>
      <c r="AA186" s="244"/>
      <c r="AB186" s="244"/>
      <c r="AC186" s="244"/>
      <c r="AD186" s="244"/>
      <c r="AE186" s="244"/>
      <c r="AF186" s="241">
        <f t="shared" si="350"/>
        <v>0</v>
      </c>
      <c r="AH186" s="244">
        <f>50000+2500+2500</f>
        <v>55000</v>
      </c>
      <c r="AI186" s="244"/>
      <c r="AJ186" s="244"/>
      <c r="AK186" s="244"/>
      <c r="AL186" s="244"/>
      <c r="AM186" s="244"/>
      <c r="AN186" s="241">
        <f t="shared" si="351"/>
        <v>55000</v>
      </c>
      <c r="AP186" s="244"/>
      <c r="AQ186" s="244"/>
      <c r="AR186" s="244"/>
      <c r="AS186" s="244"/>
      <c r="AT186" s="244"/>
      <c r="AU186" s="244"/>
      <c r="AV186" s="241">
        <f t="shared" si="352"/>
        <v>0</v>
      </c>
      <c r="AX186" s="244"/>
      <c r="AY186" s="244"/>
      <c r="AZ186" s="244"/>
      <c r="BA186" s="244"/>
      <c r="BB186" s="244"/>
      <c r="BC186" s="244"/>
      <c r="BD186" s="241">
        <f t="shared" si="353"/>
        <v>0</v>
      </c>
      <c r="BF186" s="242"/>
      <c r="BG186" s="242"/>
      <c r="BH186" s="242"/>
      <c r="BI186" s="242"/>
      <c r="BJ186" s="242"/>
      <c r="BK186" s="242"/>
      <c r="BL186" s="241">
        <f t="shared" si="354"/>
        <v>0</v>
      </c>
      <c r="BN186" s="241">
        <f t="shared" si="355"/>
        <v>110000</v>
      </c>
      <c r="BO186" s="241">
        <f t="shared" si="346"/>
        <v>0</v>
      </c>
      <c r="BP186" s="241">
        <f t="shared" si="346"/>
        <v>0</v>
      </c>
      <c r="BQ186" s="241">
        <f t="shared" si="346"/>
        <v>0</v>
      </c>
      <c r="BR186" s="241">
        <f t="shared" si="346"/>
        <v>0</v>
      </c>
      <c r="BS186" s="241">
        <f t="shared" si="346"/>
        <v>0</v>
      </c>
      <c r="BT186" s="241">
        <f t="shared" si="356"/>
        <v>110000</v>
      </c>
    </row>
    <row r="187" spans="1:72" x14ac:dyDescent="0.25">
      <c r="A187" s="211" t="s">
        <v>287</v>
      </c>
      <c r="B187" s="244"/>
      <c r="C187" s="244"/>
      <c r="D187" s="244"/>
      <c r="E187" s="244"/>
      <c r="F187" s="244"/>
      <c r="G187" s="244"/>
      <c r="H187" s="241">
        <f t="shared" si="347"/>
        <v>0</v>
      </c>
      <c r="J187" s="244">
        <v>0</v>
      </c>
      <c r="K187" s="244"/>
      <c r="L187" s="244"/>
      <c r="M187" s="244"/>
      <c r="N187" s="244"/>
      <c r="O187" s="244"/>
      <c r="P187" s="241">
        <f t="shared" si="348"/>
        <v>0</v>
      </c>
      <c r="R187" s="244"/>
      <c r="S187" s="244"/>
      <c r="T187" s="244"/>
      <c r="U187" s="244"/>
      <c r="V187" s="244"/>
      <c r="W187" s="244"/>
      <c r="X187" s="241">
        <f t="shared" si="349"/>
        <v>0</v>
      </c>
      <c r="Z187" s="244"/>
      <c r="AA187" s="244"/>
      <c r="AB187" s="244"/>
      <c r="AC187" s="244"/>
      <c r="AD187" s="244"/>
      <c r="AE187" s="244"/>
      <c r="AF187" s="241">
        <f t="shared" si="350"/>
        <v>0</v>
      </c>
      <c r="AH187" s="244"/>
      <c r="AI187" s="244"/>
      <c r="AJ187" s="244"/>
      <c r="AK187" s="244"/>
      <c r="AL187" s="244"/>
      <c r="AM187" s="244"/>
      <c r="AN187" s="241">
        <f t="shared" si="351"/>
        <v>0</v>
      </c>
      <c r="AP187" s="243">
        <f>288750+40625</f>
        <v>329375</v>
      </c>
      <c r="AQ187" s="244"/>
      <c r="AR187" s="244"/>
      <c r="AS187" s="244"/>
      <c r="AT187" s="244"/>
      <c r="AU187" s="244"/>
      <c r="AV187" s="241">
        <f t="shared" si="352"/>
        <v>329375</v>
      </c>
      <c r="AX187" s="244"/>
      <c r="AY187" s="244"/>
      <c r="AZ187" s="244"/>
      <c r="BA187" s="244"/>
      <c r="BB187" s="244"/>
      <c r="BC187" s="244"/>
      <c r="BD187" s="241">
        <f t="shared" si="353"/>
        <v>0</v>
      </c>
      <c r="BF187" s="242"/>
      <c r="BG187" s="242"/>
      <c r="BH187" s="242"/>
      <c r="BI187" s="242"/>
      <c r="BJ187" s="242"/>
      <c r="BK187" s="242"/>
      <c r="BL187" s="241">
        <f t="shared" si="354"/>
        <v>0</v>
      </c>
      <c r="BN187" s="241">
        <f t="shared" si="355"/>
        <v>329375</v>
      </c>
      <c r="BO187" s="241">
        <f t="shared" si="346"/>
        <v>0</v>
      </c>
      <c r="BP187" s="241">
        <f t="shared" si="346"/>
        <v>0</v>
      </c>
      <c r="BQ187" s="241">
        <f t="shared" si="346"/>
        <v>0</v>
      </c>
      <c r="BR187" s="241">
        <f t="shared" si="346"/>
        <v>0</v>
      </c>
      <c r="BS187" s="241">
        <f t="shared" si="346"/>
        <v>0</v>
      </c>
      <c r="BT187" s="241">
        <f t="shared" si="356"/>
        <v>329375</v>
      </c>
    </row>
    <row r="188" spans="1:72" x14ac:dyDescent="0.25">
      <c r="A188" s="211" t="s">
        <v>288</v>
      </c>
      <c r="B188" s="244">
        <v>0</v>
      </c>
      <c r="C188" s="244"/>
      <c r="D188" s="244"/>
      <c r="E188" s="244"/>
      <c r="F188" s="244"/>
      <c r="G188" s="244"/>
      <c r="H188" s="241">
        <f t="shared" si="347"/>
        <v>0</v>
      </c>
      <c r="J188" s="244">
        <v>0</v>
      </c>
      <c r="K188" s="244"/>
      <c r="L188" s="244"/>
      <c r="M188" s="244"/>
      <c r="N188" s="244"/>
      <c r="O188" s="244"/>
      <c r="P188" s="241">
        <f t="shared" si="348"/>
        <v>0</v>
      </c>
      <c r="R188" s="244">
        <v>0</v>
      </c>
      <c r="S188" s="244"/>
      <c r="T188" s="244"/>
      <c r="U188" s="244"/>
      <c r="V188" s="244"/>
      <c r="W188" s="244"/>
      <c r="X188" s="241">
        <f t="shared" si="349"/>
        <v>0</v>
      </c>
      <c r="Z188" s="244">
        <v>0</v>
      </c>
      <c r="AA188" s="244"/>
      <c r="AB188" s="244"/>
      <c r="AC188" s="244"/>
      <c r="AD188" s="244"/>
      <c r="AE188" s="244"/>
      <c r="AF188" s="241">
        <f t="shared" si="350"/>
        <v>0</v>
      </c>
      <c r="AH188" s="244">
        <v>0</v>
      </c>
      <c r="AI188" s="244"/>
      <c r="AJ188" s="244"/>
      <c r="AK188" s="244"/>
      <c r="AL188" s="244"/>
      <c r="AM188" s="244"/>
      <c r="AN188" s="241">
        <f t="shared" si="351"/>
        <v>0</v>
      </c>
      <c r="AP188" s="244">
        <v>0</v>
      </c>
      <c r="AQ188" s="244"/>
      <c r="AR188" s="244"/>
      <c r="AS188" s="244"/>
      <c r="AT188" s="244"/>
      <c r="AU188" s="244"/>
      <c r="AV188" s="241">
        <f t="shared" si="352"/>
        <v>0</v>
      </c>
      <c r="AX188" s="244">
        <v>0</v>
      </c>
      <c r="AY188" s="244"/>
      <c r="AZ188" s="244"/>
      <c r="BA188" s="244"/>
      <c r="BB188" s="244"/>
      <c r="BC188" s="244"/>
      <c r="BD188" s="241">
        <f t="shared" si="353"/>
        <v>0</v>
      </c>
      <c r="BF188" s="242"/>
      <c r="BG188" s="242"/>
      <c r="BH188" s="242"/>
      <c r="BI188" s="242"/>
      <c r="BJ188" s="242"/>
      <c r="BK188" s="242"/>
      <c r="BL188" s="241">
        <f t="shared" si="354"/>
        <v>0</v>
      </c>
      <c r="BN188" s="241">
        <f t="shared" si="355"/>
        <v>0</v>
      </c>
      <c r="BO188" s="241">
        <f t="shared" si="346"/>
        <v>0</v>
      </c>
      <c r="BP188" s="241">
        <f t="shared" si="346"/>
        <v>0</v>
      </c>
      <c r="BQ188" s="241">
        <f t="shared" si="346"/>
        <v>0</v>
      </c>
      <c r="BR188" s="241">
        <f t="shared" si="346"/>
        <v>0</v>
      </c>
      <c r="BS188" s="241">
        <f t="shared" si="346"/>
        <v>0</v>
      </c>
      <c r="BT188" s="241">
        <f t="shared" si="356"/>
        <v>0</v>
      </c>
    </row>
    <row r="189" spans="1:72" x14ac:dyDescent="0.25">
      <c r="A189" s="211" t="s">
        <v>289</v>
      </c>
      <c r="B189" s="244"/>
      <c r="C189" s="244"/>
      <c r="D189" s="244"/>
      <c r="E189" s="244"/>
      <c r="F189" s="244"/>
      <c r="G189" s="244"/>
      <c r="H189" s="241">
        <f t="shared" si="347"/>
        <v>0</v>
      </c>
      <c r="J189" s="244"/>
      <c r="K189" s="244"/>
      <c r="L189" s="244"/>
      <c r="M189" s="244"/>
      <c r="N189" s="244"/>
      <c r="O189" s="244"/>
      <c r="P189" s="241">
        <f t="shared" si="348"/>
        <v>0</v>
      </c>
      <c r="R189" s="244"/>
      <c r="S189" s="244"/>
      <c r="T189" s="244"/>
      <c r="U189" s="244"/>
      <c r="V189" s="244"/>
      <c r="W189" s="244"/>
      <c r="X189" s="241">
        <f t="shared" si="349"/>
        <v>0</v>
      </c>
      <c r="Z189" s="244"/>
      <c r="AA189" s="244"/>
      <c r="AB189" s="244"/>
      <c r="AC189" s="244"/>
      <c r="AD189" s="244"/>
      <c r="AE189" s="244"/>
      <c r="AF189" s="241">
        <f t="shared" si="350"/>
        <v>0</v>
      </c>
      <c r="AH189" s="244"/>
      <c r="AI189" s="244"/>
      <c r="AJ189" s="244"/>
      <c r="AK189" s="244"/>
      <c r="AL189" s="244"/>
      <c r="AM189" s="244"/>
      <c r="AN189" s="241">
        <f t="shared" si="351"/>
        <v>0</v>
      </c>
      <c r="AP189" s="244"/>
      <c r="AQ189" s="244"/>
      <c r="AR189" s="244"/>
      <c r="AS189" s="244"/>
      <c r="AT189" s="244"/>
      <c r="AU189" s="244"/>
      <c r="AV189" s="241">
        <f t="shared" si="352"/>
        <v>0</v>
      </c>
      <c r="AX189" s="244"/>
      <c r="AY189" s="244"/>
      <c r="AZ189" s="244"/>
      <c r="BA189" s="244"/>
      <c r="BB189" s="244"/>
      <c r="BC189" s="244"/>
      <c r="BD189" s="241">
        <f t="shared" si="353"/>
        <v>0</v>
      </c>
      <c r="BF189" s="242"/>
      <c r="BG189" s="242"/>
      <c r="BH189" s="242"/>
      <c r="BI189" s="242"/>
      <c r="BJ189" s="242"/>
      <c r="BK189" s="242"/>
      <c r="BL189" s="241">
        <f t="shared" si="354"/>
        <v>0</v>
      </c>
      <c r="BN189" s="241">
        <f t="shared" si="355"/>
        <v>0</v>
      </c>
      <c r="BO189" s="241">
        <f t="shared" si="346"/>
        <v>0</v>
      </c>
      <c r="BP189" s="241">
        <f t="shared" si="346"/>
        <v>0</v>
      </c>
      <c r="BQ189" s="241">
        <f t="shared" si="346"/>
        <v>0</v>
      </c>
      <c r="BR189" s="241">
        <f t="shared" si="346"/>
        <v>0</v>
      </c>
      <c r="BS189" s="241">
        <f t="shared" si="346"/>
        <v>0</v>
      </c>
      <c r="BT189" s="241">
        <f t="shared" si="356"/>
        <v>0</v>
      </c>
    </row>
    <row r="190" spans="1:72" x14ac:dyDescent="0.25">
      <c r="A190" s="211" t="s">
        <v>290</v>
      </c>
      <c r="B190" s="244"/>
      <c r="C190" s="244"/>
      <c r="D190" s="244"/>
      <c r="E190" s="244"/>
      <c r="F190" s="244"/>
      <c r="G190" s="244"/>
      <c r="H190" s="241">
        <f t="shared" si="347"/>
        <v>0</v>
      </c>
      <c r="J190" s="244"/>
      <c r="K190" s="244"/>
      <c r="L190" s="244"/>
      <c r="M190" s="244"/>
      <c r="N190" s="244"/>
      <c r="O190" s="244"/>
      <c r="P190" s="241">
        <f t="shared" si="348"/>
        <v>0</v>
      </c>
      <c r="R190" s="244"/>
      <c r="S190" s="244"/>
      <c r="T190" s="244"/>
      <c r="U190" s="244"/>
      <c r="V190" s="244"/>
      <c r="W190" s="244"/>
      <c r="X190" s="241">
        <f t="shared" si="349"/>
        <v>0</v>
      </c>
      <c r="Z190" s="244"/>
      <c r="AA190" s="244"/>
      <c r="AB190" s="244"/>
      <c r="AC190" s="244"/>
      <c r="AD190" s="244"/>
      <c r="AE190" s="244"/>
      <c r="AF190" s="241">
        <f t="shared" si="350"/>
        <v>0</v>
      </c>
      <c r="AH190" s="244"/>
      <c r="AI190" s="244"/>
      <c r="AJ190" s="244"/>
      <c r="AK190" s="244"/>
      <c r="AL190" s="244"/>
      <c r="AM190" s="244"/>
      <c r="AN190" s="241">
        <f t="shared" si="351"/>
        <v>0</v>
      </c>
      <c r="AP190" s="244"/>
      <c r="AQ190" s="244"/>
      <c r="AR190" s="244"/>
      <c r="AS190" s="244"/>
      <c r="AT190" s="244"/>
      <c r="AU190" s="244"/>
      <c r="AV190" s="241">
        <f t="shared" si="352"/>
        <v>0</v>
      </c>
      <c r="AX190" s="244"/>
      <c r="AY190" s="244"/>
      <c r="AZ190" s="244"/>
      <c r="BA190" s="244"/>
      <c r="BB190" s="244"/>
      <c r="BC190" s="244"/>
      <c r="BD190" s="241">
        <f t="shared" si="353"/>
        <v>0</v>
      </c>
      <c r="BF190" s="242"/>
      <c r="BG190" s="242"/>
      <c r="BH190" s="242"/>
      <c r="BI190" s="242"/>
      <c r="BJ190" s="242"/>
      <c r="BK190" s="242"/>
      <c r="BL190" s="241">
        <f t="shared" si="354"/>
        <v>0</v>
      </c>
      <c r="BN190" s="241">
        <f t="shared" si="355"/>
        <v>0</v>
      </c>
      <c r="BO190" s="241">
        <f t="shared" si="355"/>
        <v>0</v>
      </c>
      <c r="BP190" s="241">
        <f t="shared" si="355"/>
        <v>0</v>
      </c>
      <c r="BQ190" s="241">
        <f t="shared" si="355"/>
        <v>0</v>
      </c>
      <c r="BR190" s="241">
        <f t="shared" si="355"/>
        <v>0</v>
      </c>
      <c r="BS190" s="241">
        <f t="shared" si="355"/>
        <v>0</v>
      </c>
      <c r="BT190" s="241">
        <f t="shared" si="356"/>
        <v>0</v>
      </c>
    </row>
    <row r="191" spans="1:72" x14ac:dyDescent="0.25">
      <c r="A191" s="211" t="s">
        <v>291</v>
      </c>
      <c r="B191" s="244"/>
      <c r="C191" s="244"/>
      <c r="D191" s="244"/>
      <c r="E191" s="244"/>
      <c r="F191" s="244"/>
      <c r="G191" s="244">
        <f>G79</f>
        <v>300000</v>
      </c>
      <c r="H191" s="241">
        <f t="shared" si="347"/>
        <v>300000</v>
      </c>
      <c r="J191" s="244"/>
      <c r="K191" s="244"/>
      <c r="L191" s="244"/>
      <c r="M191" s="244"/>
      <c r="N191" s="244"/>
      <c r="O191" s="244">
        <f>O79</f>
        <v>1500000</v>
      </c>
      <c r="P191" s="241">
        <f t="shared" si="348"/>
        <v>1500000</v>
      </c>
      <c r="R191" s="244"/>
      <c r="S191" s="244"/>
      <c r="T191" s="244"/>
      <c r="U191" s="244"/>
      <c r="V191" s="244"/>
      <c r="W191" s="244">
        <f>W79</f>
        <v>850000</v>
      </c>
      <c r="X191" s="241">
        <f t="shared" si="349"/>
        <v>850000</v>
      </c>
      <c r="Z191" s="244"/>
      <c r="AA191" s="244"/>
      <c r="AB191" s="244"/>
      <c r="AC191" s="244"/>
      <c r="AD191" s="244"/>
      <c r="AE191" s="244">
        <f>AE79</f>
        <v>900000</v>
      </c>
      <c r="AF191" s="241">
        <f t="shared" si="350"/>
        <v>900000</v>
      </c>
      <c r="AH191" s="244"/>
      <c r="AI191" s="244"/>
      <c r="AJ191" s="244"/>
      <c r="AK191" s="244"/>
      <c r="AL191" s="244"/>
      <c r="AM191" s="244">
        <f>AM79</f>
        <v>2500000</v>
      </c>
      <c r="AN191" s="241">
        <f t="shared" si="351"/>
        <v>2500000</v>
      </c>
      <c r="AP191" s="244"/>
      <c r="AQ191" s="244"/>
      <c r="AR191" s="244"/>
      <c r="AS191" s="244"/>
      <c r="AT191" s="244"/>
      <c r="AU191" s="244">
        <f>AU79</f>
        <v>100000</v>
      </c>
      <c r="AV191" s="241">
        <f t="shared" si="352"/>
        <v>100000</v>
      </c>
      <c r="AX191" s="244"/>
      <c r="AY191" s="244"/>
      <c r="AZ191" s="244"/>
      <c r="BA191" s="244"/>
      <c r="BB191" s="244"/>
      <c r="BC191" s="244">
        <f>BC79</f>
        <v>25000</v>
      </c>
      <c r="BD191" s="241">
        <f t="shared" si="353"/>
        <v>25000</v>
      </c>
      <c r="BF191" s="242"/>
      <c r="BG191" s="242"/>
      <c r="BH191" s="242"/>
      <c r="BI191" s="242"/>
      <c r="BJ191" s="242"/>
      <c r="BK191" s="242"/>
      <c r="BL191" s="241">
        <f t="shared" si="354"/>
        <v>0</v>
      </c>
      <c r="BN191" s="241">
        <f t="shared" si="355"/>
        <v>0</v>
      </c>
      <c r="BO191" s="241">
        <f t="shared" si="355"/>
        <v>0</v>
      </c>
      <c r="BP191" s="241">
        <f t="shared" si="355"/>
        <v>0</v>
      </c>
      <c r="BQ191" s="241">
        <f t="shared" si="355"/>
        <v>0</v>
      </c>
      <c r="BR191" s="241">
        <f t="shared" si="355"/>
        <v>0</v>
      </c>
      <c r="BS191" s="241">
        <f t="shared" si="355"/>
        <v>6175000</v>
      </c>
      <c r="BT191" s="241">
        <f t="shared" si="356"/>
        <v>6175000</v>
      </c>
    </row>
    <row r="192" spans="1:72" x14ac:dyDescent="0.25">
      <c r="A192" s="211" t="s">
        <v>292</v>
      </c>
      <c r="B192" s="244">
        <v>3500</v>
      </c>
      <c r="C192" s="244"/>
      <c r="D192" s="244"/>
      <c r="E192" s="244"/>
      <c r="F192" s="244"/>
      <c r="G192" s="244"/>
      <c r="H192" s="241">
        <f t="shared" si="347"/>
        <v>3500</v>
      </c>
      <c r="J192" s="244">
        <v>5000</v>
      </c>
      <c r="K192" s="244"/>
      <c r="L192" s="244"/>
      <c r="M192" s="244"/>
      <c r="N192" s="244">
        <v>49770</v>
      </c>
      <c r="O192" s="244"/>
      <c r="P192" s="241">
        <f t="shared" si="348"/>
        <v>54770</v>
      </c>
      <c r="R192" s="244">
        <v>5000</v>
      </c>
      <c r="S192" s="244"/>
      <c r="T192" s="244"/>
      <c r="U192" s="244"/>
      <c r="V192" s="244"/>
      <c r="W192" s="244"/>
      <c r="X192" s="241">
        <f t="shared" si="349"/>
        <v>5000</v>
      </c>
      <c r="Z192" s="244">
        <v>5000</v>
      </c>
      <c r="AA192" s="244"/>
      <c r="AB192" s="244"/>
      <c r="AC192" s="244"/>
      <c r="AD192" s="244"/>
      <c r="AE192" s="244"/>
      <c r="AF192" s="241">
        <f t="shared" si="350"/>
        <v>5000</v>
      </c>
      <c r="AH192" s="244">
        <v>5000</v>
      </c>
      <c r="AI192" s="244"/>
      <c r="AJ192" s="244"/>
      <c r="AK192" s="244"/>
      <c r="AL192" s="244"/>
      <c r="AM192" s="244"/>
      <c r="AN192" s="241">
        <f t="shared" si="351"/>
        <v>5000</v>
      </c>
      <c r="AP192" s="244">
        <v>2500</v>
      </c>
      <c r="AQ192" s="244"/>
      <c r="AR192" s="244"/>
      <c r="AS192" s="244"/>
      <c r="AT192" s="244"/>
      <c r="AU192" s="244"/>
      <c r="AV192" s="241">
        <f t="shared" si="352"/>
        <v>2500</v>
      </c>
      <c r="AX192" s="244">
        <v>1000</v>
      </c>
      <c r="AY192" s="244"/>
      <c r="AZ192" s="244"/>
      <c r="BA192" s="244"/>
      <c r="BB192" s="244"/>
      <c r="BC192" s="244"/>
      <c r="BD192" s="241">
        <f t="shared" si="353"/>
        <v>1000</v>
      </c>
      <c r="BF192" s="242"/>
      <c r="BG192" s="242"/>
      <c r="BH192" s="242"/>
      <c r="BI192" s="242"/>
      <c r="BJ192" s="280">
        <f>145235+192192</f>
        <v>337427</v>
      </c>
      <c r="BK192" s="242"/>
      <c r="BL192" s="241">
        <f t="shared" si="354"/>
        <v>337427</v>
      </c>
      <c r="BN192" s="241">
        <f t="shared" si="355"/>
        <v>27000</v>
      </c>
      <c r="BO192" s="241">
        <f t="shared" si="355"/>
        <v>0</v>
      </c>
      <c r="BP192" s="241">
        <f t="shared" si="355"/>
        <v>0</v>
      </c>
      <c r="BQ192" s="241">
        <f t="shared" si="355"/>
        <v>0</v>
      </c>
      <c r="BR192" s="241">
        <f t="shared" si="355"/>
        <v>387197</v>
      </c>
      <c r="BS192" s="241">
        <f t="shared" si="355"/>
        <v>0</v>
      </c>
      <c r="BT192" s="241">
        <f t="shared" si="356"/>
        <v>414197</v>
      </c>
    </row>
    <row r="193" spans="1:73" x14ac:dyDescent="0.25">
      <c r="A193" s="212" t="s">
        <v>293</v>
      </c>
      <c r="B193" s="245">
        <f>B68*0.01</f>
        <v>89270.1</v>
      </c>
      <c r="C193" s="245"/>
      <c r="D193" s="245"/>
      <c r="E193" s="245"/>
      <c r="F193" s="245"/>
      <c r="G193" s="245"/>
      <c r="H193" s="241">
        <f>SUM(B193:G193)</f>
        <v>89270.1</v>
      </c>
      <c r="J193" s="245">
        <f>J68*0.02</f>
        <v>484196.4</v>
      </c>
      <c r="K193" s="245"/>
      <c r="L193" s="245"/>
      <c r="M193" s="245"/>
      <c r="N193" s="245"/>
      <c r="O193" s="245"/>
      <c r="P193" s="241">
        <f>SUM(J193:O193)</f>
        <v>484196.4</v>
      </c>
      <c r="R193" s="245">
        <f>R68*0.015</f>
        <v>148783.5</v>
      </c>
      <c r="S193" s="245"/>
      <c r="T193" s="245"/>
      <c r="U193" s="245"/>
      <c r="V193" s="245"/>
      <c r="W193" s="245"/>
      <c r="X193" s="241">
        <f>SUM(R193:W193)</f>
        <v>148783.5</v>
      </c>
      <c r="Z193" s="245">
        <f>Z68*0.0215</f>
        <v>248039.90999999997</v>
      </c>
      <c r="AA193" s="245"/>
      <c r="AB193" s="245"/>
      <c r="AC193" s="245"/>
      <c r="AD193" s="245"/>
      <c r="AE193" s="245"/>
      <c r="AF193" s="241">
        <f>SUM(Z193:AE193)</f>
        <v>248039.90999999997</v>
      </c>
      <c r="AH193" s="245">
        <f>AH68*0.0135</f>
        <v>330212.7</v>
      </c>
      <c r="AI193" s="245"/>
      <c r="AJ193" s="245"/>
      <c r="AK193" s="245"/>
      <c r="AL193" s="245"/>
      <c r="AM193" s="245"/>
      <c r="AN193" s="241">
        <f>SUM(AH193:AM193)</f>
        <v>330212.7</v>
      </c>
      <c r="AP193" s="245"/>
      <c r="AQ193" s="245"/>
      <c r="AR193" s="245"/>
      <c r="AS193" s="245"/>
      <c r="AT193" s="245"/>
      <c r="AU193" s="245"/>
      <c r="AV193" s="241">
        <f>SUM(AP193:AU193)</f>
        <v>0</v>
      </c>
      <c r="AX193" s="245">
        <f>AX68*0.0275</f>
        <v>48198.15</v>
      </c>
      <c r="AY193" s="245"/>
      <c r="AZ193" s="245"/>
      <c r="BA193" s="245"/>
      <c r="BB193" s="245"/>
      <c r="BC193" s="245"/>
      <c r="BD193" s="241">
        <f>SUM(AX193:BC193)</f>
        <v>48198.15</v>
      </c>
      <c r="BF193" s="282"/>
      <c r="BG193" s="282"/>
      <c r="BH193" s="282"/>
      <c r="BI193" s="282"/>
      <c r="BJ193" s="282"/>
      <c r="BK193" s="282"/>
      <c r="BL193" s="241">
        <f>SUM(BF193:BK193)</f>
        <v>0</v>
      </c>
      <c r="BN193" s="241">
        <f t="shared" si="355"/>
        <v>1348700.7599999998</v>
      </c>
      <c r="BO193" s="241">
        <f t="shared" si="355"/>
        <v>0</v>
      </c>
      <c r="BP193" s="241">
        <f t="shared" si="355"/>
        <v>0</v>
      </c>
      <c r="BQ193" s="241">
        <f t="shared" si="355"/>
        <v>0</v>
      </c>
      <c r="BR193" s="241">
        <f t="shared" si="355"/>
        <v>0</v>
      </c>
      <c r="BS193" s="241">
        <f t="shared" si="355"/>
        <v>0</v>
      </c>
      <c r="BT193" s="241">
        <f>SUM(BN193:BS193)</f>
        <v>1348700.7599999998</v>
      </c>
      <c r="BU193" s="285">
        <f>BT193/BT68</f>
        <v>1.5214774579033131E-2</v>
      </c>
    </row>
    <row r="194" spans="1:73" x14ac:dyDescent="0.25">
      <c r="A194" s="213"/>
      <c r="B194" s="258">
        <f>SUM(B174:B193)</f>
        <v>296535.57247000001</v>
      </c>
      <c r="C194" s="258">
        <f t="shared" ref="C194:H194" si="357">SUM(C174:C193)</f>
        <v>0</v>
      </c>
      <c r="D194" s="258">
        <f t="shared" si="357"/>
        <v>218250</v>
      </c>
      <c r="E194" s="258">
        <f t="shared" si="357"/>
        <v>0</v>
      </c>
      <c r="F194" s="258">
        <f t="shared" si="357"/>
        <v>0</v>
      </c>
      <c r="G194" s="258">
        <f t="shared" si="357"/>
        <v>300000</v>
      </c>
      <c r="H194" s="258">
        <f t="shared" si="357"/>
        <v>814785.57247000001</v>
      </c>
      <c r="J194" s="258">
        <f>SUM(J174:J193)</f>
        <v>1008199.23754</v>
      </c>
      <c r="K194" s="258">
        <f t="shared" ref="K194:P194" si="358">SUM(K174:K193)</f>
        <v>0</v>
      </c>
      <c r="L194" s="258">
        <f t="shared" si="358"/>
        <v>432450</v>
      </c>
      <c r="M194" s="258">
        <f t="shared" si="358"/>
        <v>0</v>
      </c>
      <c r="N194" s="258">
        <f t="shared" si="358"/>
        <v>49770</v>
      </c>
      <c r="O194" s="258">
        <f t="shared" si="358"/>
        <v>1500000</v>
      </c>
      <c r="P194" s="258">
        <f t="shared" si="358"/>
        <v>2990419.2375399997</v>
      </c>
      <c r="R194" s="258">
        <f>SUM(R174:R193)</f>
        <v>372485.99329999997</v>
      </c>
      <c r="S194" s="258">
        <f t="shared" ref="S194:X194" si="359">SUM(S174:S193)</f>
        <v>0</v>
      </c>
      <c r="T194" s="258">
        <f t="shared" si="359"/>
        <v>109890</v>
      </c>
      <c r="U194" s="258">
        <f t="shared" si="359"/>
        <v>0</v>
      </c>
      <c r="V194" s="258">
        <f t="shared" si="359"/>
        <v>0</v>
      </c>
      <c r="W194" s="258">
        <f t="shared" si="359"/>
        <v>850000</v>
      </c>
      <c r="X194" s="258">
        <f t="shared" si="359"/>
        <v>1332375.9933</v>
      </c>
      <c r="Z194" s="258">
        <f>SUM(Z174:Z193)</f>
        <v>513711.62452000001</v>
      </c>
      <c r="AA194" s="258">
        <f t="shared" ref="AA194:AF194" si="360">SUM(AA174:AA193)</f>
        <v>0</v>
      </c>
      <c r="AB194" s="258">
        <f t="shared" si="360"/>
        <v>69930</v>
      </c>
      <c r="AC194" s="258">
        <f t="shared" si="360"/>
        <v>0</v>
      </c>
      <c r="AD194" s="258">
        <f t="shared" si="360"/>
        <v>0</v>
      </c>
      <c r="AE194" s="258">
        <f t="shared" si="360"/>
        <v>900000</v>
      </c>
      <c r="AF194" s="258">
        <f t="shared" si="360"/>
        <v>1483641.6245199998</v>
      </c>
      <c r="AH194" s="258">
        <f>SUM(AH174:AH193)</f>
        <v>839031.66959999991</v>
      </c>
      <c r="AI194" s="258">
        <f t="shared" ref="AI194:AN194" si="361">SUM(AI174:AI193)</f>
        <v>0</v>
      </c>
      <c r="AJ194" s="258">
        <f t="shared" si="361"/>
        <v>183150</v>
      </c>
      <c r="AK194" s="258">
        <f t="shared" si="361"/>
        <v>0</v>
      </c>
      <c r="AL194" s="258">
        <f t="shared" si="361"/>
        <v>0</v>
      </c>
      <c r="AM194" s="258">
        <f t="shared" si="361"/>
        <v>2500000</v>
      </c>
      <c r="AN194" s="258">
        <f t="shared" si="361"/>
        <v>3522181.6696000001</v>
      </c>
      <c r="AP194" s="258">
        <f>SUM(AP174:AP193)</f>
        <v>499667.42636000004</v>
      </c>
      <c r="AQ194" s="258">
        <f t="shared" ref="AQ194:AV194" si="362">SUM(AQ174:AQ193)</f>
        <v>0</v>
      </c>
      <c r="AR194" s="258">
        <f t="shared" si="362"/>
        <v>503100</v>
      </c>
      <c r="AS194" s="258">
        <f t="shared" si="362"/>
        <v>0</v>
      </c>
      <c r="AT194" s="258">
        <f t="shared" si="362"/>
        <v>0</v>
      </c>
      <c r="AU194" s="258">
        <f t="shared" si="362"/>
        <v>100000</v>
      </c>
      <c r="AV194" s="258">
        <f t="shared" si="362"/>
        <v>1102767.4263599999</v>
      </c>
      <c r="AX194" s="258">
        <f>SUM(AX174:AX193)</f>
        <v>103688.09200999999</v>
      </c>
      <c r="AY194" s="258">
        <f t="shared" ref="AY194:BD194" si="363">SUM(AY174:AY193)</f>
        <v>0</v>
      </c>
      <c r="AZ194" s="258">
        <f t="shared" si="363"/>
        <v>0</v>
      </c>
      <c r="BA194" s="258">
        <f t="shared" si="363"/>
        <v>0</v>
      </c>
      <c r="BB194" s="258">
        <f t="shared" si="363"/>
        <v>0</v>
      </c>
      <c r="BC194" s="258">
        <f t="shared" si="363"/>
        <v>25000</v>
      </c>
      <c r="BD194" s="258">
        <f t="shared" si="363"/>
        <v>128688.09200999999</v>
      </c>
      <c r="BF194" s="258">
        <f>SUM(BF174:BF193)</f>
        <v>28200</v>
      </c>
      <c r="BG194" s="258">
        <f t="shared" ref="BG194:BL194" si="364">SUM(BG174:BG193)</f>
        <v>0</v>
      </c>
      <c r="BH194" s="258">
        <f t="shared" si="364"/>
        <v>0</v>
      </c>
      <c r="BI194" s="258">
        <f t="shared" si="364"/>
        <v>0</v>
      </c>
      <c r="BJ194" s="258">
        <f t="shared" si="364"/>
        <v>337427</v>
      </c>
      <c r="BK194" s="258">
        <f t="shared" si="364"/>
        <v>0</v>
      </c>
      <c r="BL194" s="258">
        <f t="shared" si="364"/>
        <v>365627</v>
      </c>
      <c r="BN194" s="258">
        <f>SUM(BN174:BN193)</f>
        <v>3661519.6157999998</v>
      </c>
      <c r="BO194" s="258">
        <f t="shared" ref="BO194:BT194" si="365">SUM(BO174:BO193)</f>
        <v>0</v>
      </c>
      <c r="BP194" s="258">
        <f t="shared" si="365"/>
        <v>1516770</v>
      </c>
      <c r="BQ194" s="258">
        <f t="shared" si="365"/>
        <v>0</v>
      </c>
      <c r="BR194" s="258">
        <f t="shared" si="365"/>
        <v>387197</v>
      </c>
      <c r="BS194" s="258">
        <f t="shared" si="365"/>
        <v>6175000</v>
      </c>
      <c r="BT194" s="258">
        <f t="shared" si="365"/>
        <v>11740486.615799999</v>
      </c>
    </row>
    <row r="195" spans="1:73" x14ac:dyDescent="0.25">
      <c r="B195" s="259"/>
      <c r="C195" s="259"/>
      <c r="D195" s="259"/>
      <c r="E195" s="259"/>
      <c r="F195" s="259"/>
      <c r="G195" s="259"/>
      <c r="H195" s="259"/>
      <c r="J195" s="259"/>
      <c r="K195" s="259"/>
      <c r="L195" s="259"/>
      <c r="M195" s="259"/>
      <c r="N195" s="259"/>
      <c r="O195" s="259"/>
      <c r="P195" s="259"/>
      <c r="R195" s="259"/>
      <c r="S195" s="259"/>
      <c r="T195" s="259"/>
      <c r="U195" s="259"/>
      <c r="V195" s="259"/>
      <c r="W195" s="259"/>
      <c r="X195" s="259"/>
      <c r="Z195" s="259"/>
      <c r="AA195" s="259"/>
      <c r="AB195" s="259"/>
      <c r="AC195" s="259"/>
      <c r="AD195" s="259"/>
      <c r="AE195" s="259"/>
      <c r="AF195" s="259"/>
      <c r="AH195" s="259"/>
      <c r="AI195" s="259"/>
      <c r="AJ195" s="259"/>
      <c r="AK195" s="259"/>
      <c r="AL195" s="259"/>
      <c r="AM195" s="259"/>
      <c r="AN195" s="259"/>
      <c r="AP195" s="259"/>
      <c r="AQ195" s="259"/>
      <c r="AR195" s="259"/>
      <c r="AS195" s="259"/>
      <c r="AT195" s="259"/>
      <c r="AU195" s="259"/>
      <c r="AV195" s="259"/>
      <c r="AX195" s="259"/>
      <c r="AY195" s="259"/>
      <c r="AZ195" s="259"/>
      <c r="BA195" s="259"/>
      <c r="BB195" s="259"/>
      <c r="BC195" s="259"/>
      <c r="BD195" s="259"/>
      <c r="BF195" s="259"/>
      <c r="BG195" s="259"/>
      <c r="BH195" s="259"/>
      <c r="BI195" s="259"/>
      <c r="BJ195" s="259"/>
      <c r="BK195" s="259"/>
      <c r="BL195" s="259"/>
      <c r="BN195" s="259"/>
      <c r="BO195" s="259"/>
      <c r="BP195" s="259"/>
      <c r="BQ195" s="259"/>
      <c r="BR195" s="259"/>
      <c r="BS195" s="259"/>
      <c r="BT195" s="259"/>
    </row>
    <row r="196" spans="1:73" x14ac:dyDescent="0.25">
      <c r="A196" s="208" t="s">
        <v>337</v>
      </c>
      <c r="B196" s="260" t="s">
        <v>309</v>
      </c>
      <c r="C196" s="260" t="s">
        <v>310</v>
      </c>
      <c r="D196" s="260" t="s">
        <v>311</v>
      </c>
      <c r="E196" s="260" t="str">
        <f>E173</f>
        <v>Other</v>
      </c>
      <c r="F196" s="260" t="s">
        <v>315</v>
      </c>
      <c r="G196" s="260" t="s">
        <v>314</v>
      </c>
      <c r="H196" s="260" t="str">
        <f>H173</f>
        <v>Horizon</v>
      </c>
      <c r="J196" s="260" t="s">
        <v>309</v>
      </c>
      <c r="K196" s="260" t="s">
        <v>310</v>
      </c>
      <c r="L196" s="260" t="s">
        <v>311</v>
      </c>
      <c r="M196" s="260" t="str">
        <f>M173</f>
        <v>Other</v>
      </c>
      <c r="N196" s="260" t="s">
        <v>315</v>
      </c>
      <c r="O196" s="260" t="s">
        <v>314</v>
      </c>
      <c r="P196" s="260" t="str">
        <f>P173</f>
        <v>Cadence</v>
      </c>
      <c r="R196" s="260" t="s">
        <v>309</v>
      </c>
      <c r="S196" s="260" t="s">
        <v>310</v>
      </c>
      <c r="T196" s="260" t="s">
        <v>311</v>
      </c>
      <c r="U196" s="260" t="str">
        <f>U173</f>
        <v>Other</v>
      </c>
      <c r="V196" s="260" t="s">
        <v>315</v>
      </c>
      <c r="W196" s="260" t="s">
        <v>314</v>
      </c>
      <c r="X196" s="260" t="str">
        <f>X173</f>
        <v>St. Rose</v>
      </c>
      <c r="Z196" s="260" t="s">
        <v>309</v>
      </c>
      <c r="AA196" s="260" t="s">
        <v>310</v>
      </c>
      <c r="AB196" s="260" t="s">
        <v>311</v>
      </c>
      <c r="AC196" s="260" t="str">
        <f>AC173</f>
        <v>Other</v>
      </c>
      <c r="AD196" s="260" t="s">
        <v>315</v>
      </c>
      <c r="AE196" s="260" t="s">
        <v>314</v>
      </c>
      <c r="AF196" s="260" t="str">
        <f>AF173</f>
        <v>Inspirada</v>
      </c>
      <c r="AH196" s="260" t="s">
        <v>309</v>
      </c>
      <c r="AI196" s="260" t="s">
        <v>310</v>
      </c>
      <c r="AJ196" s="260" t="s">
        <v>311</v>
      </c>
      <c r="AK196" s="260" t="str">
        <f>AK173</f>
        <v>Other</v>
      </c>
      <c r="AL196" s="260" t="s">
        <v>315</v>
      </c>
      <c r="AM196" s="260" t="s">
        <v>314</v>
      </c>
      <c r="AN196" s="260" t="str">
        <f>AN173</f>
        <v>Sloan</v>
      </c>
      <c r="AP196" s="260" t="s">
        <v>309</v>
      </c>
      <c r="AQ196" s="260" t="s">
        <v>310</v>
      </c>
      <c r="AR196" s="260" t="s">
        <v>311</v>
      </c>
      <c r="AS196" s="260" t="str">
        <f>AS173</f>
        <v>Other</v>
      </c>
      <c r="AT196" s="260" t="s">
        <v>315</v>
      </c>
      <c r="AU196" s="260" t="s">
        <v>314</v>
      </c>
      <c r="AV196" s="260" t="str">
        <f>AV173</f>
        <v>Springs</v>
      </c>
      <c r="AX196" s="260" t="s">
        <v>309</v>
      </c>
      <c r="AY196" s="260" t="s">
        <v>310</v>
      </c>
      <c r="AZ196" s="260" t="s">
        <v>311</v>
      </c>
      <c r="BA196" s="260" t="str">
        <f>BA173</f>
        <v>Other</v>
      </c>
      <c r="BB196" s="260" t="s">
        <v>315</v>
      </c>
      <c r="BC196" s="260" t="s">
        <v>314</v>
      </c>
      <c r="BD196" s="260" t="str">
        <f>BD173</f>
        <v>Virtual</v>
      </c>
      <c r="BF196" s="260" t="s">
        <v>309</v>
      </c>
      <c r="BG196" s="260" t="s">
        <v>310</v>
      </c>
      <c r="BH196" s="260" t="s">
        <v>311</v>
      </c>
      <c r="BI196" s="260" t="str">
        <f>BI173</f>
        <v>Other</v>
      </c>
      <c r="BJ196" s="260" t="s">
        <v>315</v>
      </c>
      <c r="BK196" s="260" t="s">
        <v>314</v>
      </c>
      <c r="BL196" s="260" t="str">
        <f>BL173</f>
        <v>Central</v>
      </c>
      <c r="BN196" s="260" t="s">
        <v>309</v>
      </c>
      <c r="BO196" s="260" t="s">
        <v>310</v>
      </c>
      <c r="BP196" s="260" t="s">
        <v>311</v>
      </c>
      <c r="BQ196" s="260" t="str">
        <f>BQ173</f>
        <v>Other</v>
      </c>
      <c r="BR196" s="260" t="s">
        <v>315</v>
      </c>
      <c r="BS196" s="260" t="s">
        <v>314</v>
      </c>
      <c r="BT196" s="260" t="str">
        <f>BT173</f>
        <v>System</v>
      </c>
    </row>
    <row r="197" spans="1:73" x14ac:dyDescent="0.25">
      <c r="A197" s="214" t="s">
        <v>294</v>
      </c>
      <c r="B197" s="241">
        <f>115000*1.02*1.02</f>
        <v>119646</v>
      </c>
      <c r="C197" s="257"/>
      <c r="D197" s="257"/>
      <c r="E197" s="257"/>
      <c r="F197" s="257"/>
      <c r="G197" s="257"/>
      <c r="H197" s="241">
        <f>SUM(B197:G197)</f>
        <v>119646</v>
      </c>
      <c r="J197" s="241">
        <f>275000*1.02*1.02</f>
        <v>286110</v>
      </c>
      <c r="K197" s="257"/>
      <c r="L197" s="257"/>
      <c r="M197" s="257"/>
      <c r="N197" s="257"/>
      <c r="O197" s="257"/>
      <c r="P197" s="241">
        <f>SUM(J197:O197)</f>
        <v>286110</v>
      </c>
      <c r="R197" s="241">
        <f>95000*1.02*1.02</f>
        <v>98838</v>
      </c>
      <c r="S197" s="257"/>
      <c r="T197" s="257"/>
      <c r="U197" s="257"/>
      <c r="V197" s="257"/>
      <c r="W197" s="257"/>
      <c r="X197" s="241">
        <f>SUM(R197:W197)</f>
        <v>98838</v>
      </c>
      <c r="Z197" s="241">
        <f>120000*1.02*1.02</f>
        <v>124848</v>
      </c>
      <c r="AA197" s="257"/>
      <c r="AB197" s="257"/>
      <c r="AC197" s="257"/>
      <c r="AD197" s="257"/>
      <c r="AE197" s="257"/>
      <c r="AF197" s="241">
        <f>SUM(Z197:AE197)</f>
        <v>124848</v>
      </c>
      <c r="AH197" s="241">
        <f>275000*1.02*1.02</f>
        <v>286110</v>
      </c>
      <c r="AI197" s="257"/>
      <c r="AJ197" s="257"/>
      <c r="AK197" s="257"/>
      <c r="AL197" s="257"/>
      <c r="AM197" s="257"/>
      <c r="AN197" s="241">
        <f>SUM(AH197:AM197)</f>
        <v>286110</v>
      </c>
      <c r="AP197" s="241">
        <f>90000*1.03</f>
        <v>92700</v>
      </c>
      <c r="AQ197" s="257"/>
      <c r="AR197" s="257"/>
      <c r="AS197" s="257"/>
      <c r="AT197" s="257"/>
      <c r="AU197" s="257"/>
      <c r="AV197" s="241">
        <f>SUM(AP197:AU197)</f>
        <v>92700</v>
      </c>
      <c r="AX197" s="241"/>
      <c r="AY197" s="257"/>
      <c r="AZ197" s="257"/>
      <c r="BA197" s="257"/>
      <c r="BB197" s="257"/>
      <c r="BC197" s="257"/>
      <c r="BD197" s="241">
        <f>SUM(AX197:BC197)</f>
        <v>0</v>
      </c>
      <c r="BF197" s="241"/>
      <c r="BG197" s="257"/>
      <c r="BH197" s="257"/>
      <c r="BI197" s="257"/>
      <c r="BJ197" s="257"/>
      <c r="BK197" s="257"/>
      <c r="BL197" s="241">
        <f>SUM(BF197:BK197)</f>
        <v>0</v>
      </c>
      <c r="BN197" s="241">
        <f>B197+J197+R197+Z197+AH197+AP197+AX197+BF197</f>
        <v>1008252</v>
      </c>
      <c r="BO197" s="241">
        <f t="shared" ref="BO197:BS206" si="366">C197+K197+S197+AA197+AI197+AQ197+AY197+BG197</f>
        <v>0</v>
      </c>
      <c r="BP197" s="241">
        <f t="shared" si="366"/>
        <v>0</v>
      </c>
      <c r="BQ197" s="241">
        <f t="shared" si="366"/>
        <v>0</v>
      </c>
      <c r="BR197" s="241">
        <f t="shared" si="366"/>
        <v>0</v>
      </c>
      <c r="BS197" s="241">
        <f t="shared" si="366"/>
        <v>0</v>
      </c>
      <c r="BT197" s="241">
        <f>SUM(BN197:BS197)</f>
        <v>1008252</v>
      </c>
    </row>
    <row r="198" spans="1:73" x14ac:dyDescent="0.25">
      <c r="A198" s="211" t="s">
        <v>295</v>
      </c>
      <c r="B198" s="241">
        <f>8000*1.02*1.02</f>
        <v>8323.2000000000007</v>
      </c>
      <c r="C198" s="244"/>
      <c r="D198" s="244"/>
      <c r="E198" s="244"/>
      <c r="F198" s="244"/>
      <c r="G198" s="244"/>
      <c r="H198" s="241">
        <f t="shared" ref="H198:H206" si="367">SUM(B198:G198)</f>
        <v>8323.2000000000007</v>
      </c>
      <c r="J198" s="241">
        <v>0</v>
      </c>
      <c r="K198" s="244"/>
      <c r="L198" s="244"/>
      <c r="M198" s="244"/>
      <c r="N198" s="244"/>
      <c r="O198" s="244"/>
      <c r="P198" s="241">
        <f t="shared" ref="P198:P206" si="368">SUM(J198:O198)</f>
        <v>0</v>
      </c>
      <c r="R198" s="241">
        <v>0</v>
      </c>
      <c r="S198" s="244"/>
      <c r="T198" s="244"/>
      <c r="U198" s="244"/>
      <c r="V198" s="244"/>
      <c r="W198" s="244"/>
      <c r="X198" s="241">
        <f t="shared" ref="X198:X206" si="369">SUM(R198:W198)</f>
        <v>0</v>
      </c>
      <c r="Z198" s="241">
        <v>0</v>
      </c>
      <c r="AA198" s="244"/>
      <c r="AB198" s="244"/>
      <c r="AC198" s="244"/>
      <c r="AD198" s="244"/>
      <c r="AE198" s="244"/>
      <c r="AF198" s="241">
        <f t="shared" ref="AF198:AF206" si="370">SUM(Z198:AE198)</f>
        <v>0</v>
      </c>
      <c r="AH198" s="241">
        <v>0</v>
      </c>
      <c r="AI198" s="244"/>
      <c r="AJ198" s="244"/>
      <c r="AK198" s="244"/>
      <c r="AL198" s="244"/>
      <c r="AM198" s="244"/>
      <c r="AN198" s="241">
        <f t="shared" ref="AN198:AN206" si="371">SUM(AH198:AM198)</f>
        <v>0</v>
      </c>
      <c r="AP198" s="241">
        <v>0</v>
      </c>
      <c r="AQ198" s="244"/>
      <c r="AR198" s="244"/>
      <c r="AS198" s="244"/>
      <c r="AT198" s="244"/>
      <c r="AU198" s="244"/>
      <c r="AV198" s="241">
        <f t="shared" ref="AV198:AV206" si="372">SUM(AP198:AU198)</f>
        <v>0</v>
      </c>
      <c r="AX198" s="241"/>
      <c r="AY198" s="244"/>
      <c r="AZ198" s="244"/>
      <c r="BA198" s="244"/>
      <c r="BB198" s="244"/>
      <c r="BC198" s="244"/>
      <c r="BD198" s="241">
        <f t="shared" ref="BD198:BD206" si="373">SUM(AX198:BC198)</f>
        <v>0</v>
      </c>
      <c r="BF198" s="241"/>
      <c r="BG198" s="244"/>
      <c r="BH198" s="244"/>
      <c r="BI198" s="244"/>
      <c r="BJ198" s="244"/>
      <c r="BK198" s="244"/>
      <c r="BL198" s="241">
        <f t="shared" ref="BL198:BL206" si="374">SUM(BF198:BK198)</f>
        <v>0</v>
      </c>
      <c r="BN198" s="241">
        <f t="shared" ref="BN198:BN206" si="375">B198+J198+R198+Z198+AH198+AP198+AX198+BF198</f>
        <v>8323.2000000000007</v>
      </c>
      <c r="BO198" s="241">
        <f t="shared" si="366"/>
        <v>0</v>
      </c>
      <c r="BP198" s="241">
        <f t="shared" si="366"/>
        <v>0</v>
      </c>
      <c r="BQ198" s="241">
        <f t="shared" si="366"/>
        <v>0</v>
      </c>
      <c r="BR198" s="241">
        <f t="shared" si="366"/>
        <v>0</v>
      </c>
      <c r="BS198" s="241">
        <f t="shared" si="366"/>
        <v>0</v>
      </c>
      <c r="BT198" s="241">
        <f t="shared" ref="BT198:BT206" si="376">SUM(BN198:BS198)</f>
        <v>8323.2000000000007</v>
      </c>
    </row>
    <row r="199" spans="1:73" x14ac:dyDescent="0.25">
      <c r="A199" s="211" t="s">
        <v>296</v>
      </c>
      <c r="B199" s="241">
        <f>32500*1.02*1.02</f>
        <v>33813</v>
      </c>
      <c r="C199" s="244"/>
      <c r="D199" s="244"/>
      <c r="E199" s="244"/>
      <c r="F199" s="244"/>
      <c r="G199" s="244"/>
      <c r="H199" s="241">
        <f t="shared" si="367"/>
        <v>33813</v>
      </c>
      <c r="J199" s="241">
        <f>50000*1.02*1.01</f>
        <v>51510</v>
      </c>
      <c r="K199" s="244"/>
      <c r="L199" s="244"/>
      <c r="M199" s="244"/>
      <c r="N199" s="244"/>
      <c r="O199" s="244"/>
      <c r="P199" s="241">
        <f t="shared" si="368"/>
        <v>51510</v>
      </c>
      <c r="R199" s="241">
        <f>((8400*4)+(1500*8))*1.02*1.02</f>
        <v>47442.239999999998</v>
      </c>
      <c r="S199" s="244"/>
      <c r="T199" s="244"/>
      <c r="U199" s="244"/>
      <c r="V199" s="244"/>
      <c r="W199" s="244"/>
      <c r="X199" s="241">
        <f t="shared" si="369"/>
        <v>47442.239999999998</v>
      </c>
      <c r="Z199" s="241">
        <f>20000*1.02*1.01</f>
        <v>20604</v>
      </c>
      <c r="AA199" s="244"/>
      <c r="AB199" s="244"/>
      <c r="AC199" s="244"/>
      <c r="AD199" s="244"/>
      <c r="AE199" s="244"/>
      <c r="AF199" s="241">
        <f t="shared" si="370"/>
        <v>20604</v>
      </c>
      <c r="AH199" s="241">
        <f>40000*1.02*1.02</f>
        <v>41616</v>
      </c>
      <c r="AI199" s="244"/>
      <c r="AJ199" s="244"/>
      <c r="AK199" s="244"/>
      <c r="AL199" s="244"/>
      <c r="AM199" s="244"/>
      <c r="AN199" s="241">
        <f t="shared" si="371"/>
        <v>41616</v>
      </c>
      <c r="AP199" s="241">
        <f>26000*1.03</f>
        <v>26780</v>
      </c>
      <c r="AQ199" s="244"/>
      <c r="AR199" s="244"/>
      <c r="AS199" s="244"/>
      <c r="AT199" s="244"/>
      <c r="AU199" s="244"/>
      <c r="AV199" s="241">
        <f t="shared" si="372"/>
        <v>26780</v>
      </c>
      <c r="AX199" s="241"/>
      <c r="AY199" s="244"/>
      <c r="AZ199" s="244"/>
      <c r="BA199" s="244"/>
      <c r="BB199" s="244"/>
      <c r="BC199" s="244"/>
      <c r="BD199" s="241">
        <f t="shared" si="373"/>
        <v>0</v>
      </c>
      <c r="BF199" s="241"/>
      <c r="BG199" s="244"/>
      <c r="BH199" s="244"/>
      <c r="BI199" s="244"/>
      <c r="BJ199" s="244"/>
      <c r="BK199" s="244"/>
      <c r="BL199" s="241">
        <f t="shared" si="374"/>
        <v>0</v>
      </c>
      <c r="BN199" s="241">
        <f t="shared" si="375"/>
        <v>221765.24</v>
      </c>
      <c r="BO199" s="241">
        <f t="shared" si="366"/>
        <v>0</v>
      </c>
      <c r="BP199" s="241">
        <f t="shared" si="366"/>
        <v>0</v>
      </c>
      <c r="BQ199" s="241">
        <f t="shared" si="366"/>
        <v>0</v>
      </c>
      <c r="BR199" s="241">
        <f t="shared" si="366"/>
        <v>0</v>
      </c>
      <c r="BS199" s="241">
        <f t="shared" si="366"/>
        <v>0</v>
      </c>
      <c r="BT199" s="241">
        <f t="shared" si="376"/>
        <v>221765.24</v>
      </c>
    </row>
    <row r="200" spans="1:73" x14ac:dyDescent="0.25">
      <c r="A200" s="211" t="s">
        <v>297</v>
      </c>
      <c r="B200" s="241">
        <f>24000*1.02*1.02</f>
        <v>24969.600000000002</v>
      </c>
      <c r="C200" s="244"/>
      <c r="D200" s="244"/>
      <c r="E200" s="244"/>
      <c r="F200" s="244"/>
      <c r="G200" s="244"/>
      <c r="H200" s="241">
        <f t="shared" si="367"/>
        <v>24969.600000000002</v>
      </c>
      <c r="J200" s="241">
        <f>65000*1.02*1.02</f>
        <v>67626</v>
      </c>
      <c r="K200" s="244"/>
      <c r="L200" s="244"/>
      <c r="M200" s="244"/>
      <c r="N200" s="244"/>
      <c r="O200" s="244"/>
      <c r="P200" s="241">
        <f t="shared" si="368"/>
        <v>67626</v>
      </c>
      <c r="R200" s="241">
        <f>19000*1.02*1.02</f>
        <v>19767.599999999999</v>
      </c>
      <c r="S200" s="244"/>
      <c r="T200" s="244"/>
      <c r="U200" s="244"/>
      <c r="V200" s="244"/>
      <c r="W200" s="244"/>
      <c r="X200" s="241">
        <f t="shared" si="369"/>
        <v>19767.599999999999</v>
      </c>
      <c r="Z200" s="241">
        <f>33000*1.02*1.01</f>
        <v>33996.6</v>
      </c>
      <c r="AA200" s="244"/>
      <c r="AB200" s="244"/>
      <c r="AC200" s="244"/>
      <c r="AD200" s="244"/>
      <c r="AE200" s="244"/>
      <c r="AF200" s="241">
        <f t="shared" si="370"/>
        <v>33996.6</v>
      </c>
      <c r="AH200" s="241">
        <f>62500*1.02*1.02</f>
        <v>65025</v>
      </c>
      <c r="AI200" s="244"/>
      <c r="AJ200" s="244"/>
      <c r="AK200" s="244"/>
      <c r="AL200" s="244"/>
      <c r="AM200" s="244"/>
      <c r="AN200" s="241">
        <f t="shared" si="371"/>
        <v>65025</v>
      </c>
      <c r="AP200" s="241">
        <f>22500*1.03</f>
        <v>23175</v>
      </c>
      <c r="AQ200" s="244"/>
      <c r="AR200" s="244"/>
      <c r="AS200" s="244"/>
      <c r="AT200" s="244"/>
      <c r="AU200" s="244"/>
      <c r="AV200" s="241">
        <f t="shared" si="372"/>
        <v>23175</v>
      </c>
      <c r="AX200" s="241"/>
      <c r="AY200" s="244"/>
      <c r="AZ200" s="244"/>
      <c r="BA200" s="244"/>
      <c r="BB200" s="244"/>
      <c r="BC200" s="244"/>
      <c r="BD200" s="241">
        <f t="shared" si="373"/>
        <v>0</v>
      </c>
      <c r="BF200" s="241"/>
      <c r="BG200" s="244"/>
      <c r="BH200" s="244"/>
      <c r="BI200" s="244"/>
      <c r="BJ200" s="244"/>
      <c r="BK200" s="244"/>
      <c r="BL200" s="241">
        <f t="shared" si="374"/>
        <v>0</v>
      </c>
      <c r="BN200" s="241">
        <f t="shared" si="375"/>
        <v>234559.80000000002</v>
      </c>
      <c r="BO200" s="241">
        <f t="shared" si="366"/>
        <v>0</v>
      </c>
      <c r="BP200" s="241">
        <f t="shared" si="366"/>
        <v>0</v>
      </c>
      <c r="BQ200" s="241">
        <f t="shared" si="366"/>
        <v>0</v>
      </c>
      <c r="BR200" s="241">
        <f t="shared" si="366"/>
        <v>0</v>
      </c>
      <c r="BS200" s="241">
        <f t="shared" si="366"/>
        <v>0</v>
      </c>
      <c r="BT200" s="241">
        <f t="shared" si="376"/>
        <v>234559.80000000002</v>
      </c>
    </row>
    <row r="201" spans="1:73" x14ac:dyDescent="0.25">
      <c r="A201" s="211" t="s">
        <v>298</v>
      </c>
      <c r="B201" s="241">
        <f>12500*1.02*1.02</f>
        <v>13005</v>
      </c>
      <c r="C201" s="244"/>
      <c r="D201" s="244"/>
      <c r="E201" s="244"/>
      <c r="F201" s="244"/>
      <c r="G201" s="244"/>
      <c r="H201" s="241">
        <f t="shared" si="367"/>
        <v>13005</v>
      </c>
      <c r="J201" s="241">
        <f>33000*1.02*1.01</f>
        <v>33996.6</v>
      </c>
      <c r="K201" s="244"/>
      <c r="L201" s="244"/>
      <c r="M201" s="244"/>
      <c r="N201" s="244"/>
      <c r="O201" s="244"/>
      <c r="P201" s="241">
        <f t="shared" si="368"/>
        <v>33996.6</v>
      </c>
      <c r="R201" s="241">
        <f>8500*1.02*1.02</f>
        <v>8843.4</v>
      </c>
      <c r="S201" s="244"/>
      <c r="T201" s="244"/>
      <c r="U201" s="244"/>
      <c r="V201" s="244"/>
      <c r="W201" s="244"/>
      <c r="X201" s="241">
        <f t="shared" si="369"/>
        <v>8843.4</v>
      </c>
      <c r="Z201" s="241">
        <f>15000*1.02*1.02</f>
        <v>15606</v>
      </c>
      <c r="AA201" s="244"/>
      <c r="AB201" s="244"/>
      <c r="AC201" s="244"/>
      <c r="AD201" s="244"/>
      <c r="AE201" s="244"/>
      <c r="AF201" s="241">
        <f t="shared" si="370"/>
        <v>15606</v>
      </c>
      <c r="AH201" s="241">
        <f>16000*1.02*1.02</f>
        <v>16646.400000000001</v>
      </c>
      <c r="AI201" s="244"/>
      <c r="AJ201" s="244"/>
      <c r="AK201" s="244"/>
      <c r="AL201" s="244"/>
      <c r="AM201" s="244"/>
      <c r="AN201" s="241">
        <f t="shared" si="371"/>
        <v>16646.400000000001</v>
      </c>
      <c r="AP201" s="241">
        <f>12000*1.02</f>
        <v>12240</v>
      </c>
      <c r="AQ201" s="244"/>
      <c r="AR201" s="244"/>
      <c r="AS201" s="244"/>
      <c r="AT201" s="244"/>
      <c r="AU201" s="244"/>
      <c r="AV201" s="241">
        <f t="shared" si="372"/>
        <v>12240</v>
      </c>
      <c r="AX201" s="241"/>
      <c r="AY201" s="244"/>
      <c r="AZ201" s="244"/>
      <c r="BA201" s="244"/>
      <c r="BB201" s="244"/>
      <c r="BC201" s="244"/>
      <c r="BD201" s="241">
        <f t="shared" si="373"/>
        <v>0</v>
      </c>
      <c r="BF201" s="241"/>
      <c r="BG201" s="244"/>
      <c r="BH201" s="244"/>
      <c r="BI201" s="244"/>
      <c r="BJ201" s="244"/>
      <c r="BK201" s="244"/>
      <c r="BL201" s="241">
        <f t="shared" si="374"/>
        <v>0</v>
      </c>
      <c r="BN201" s="241">
        <f t="shared" si="375"/>
        <v>100337.4</v>
      </c>
      <c r="BO201" s="241">
        <f t="shared" si="366"/>
        <v>0</v>
      </c>
      <c r="BP201" s="241">
        <f t="shared" si="366"/>
        <v>0</v>
      </c>
      <c r="BQ201" s="241">
        <f t="shared" si="366"/>
        <v>0</v>
      </c>
      <c r="BR201" s="241">
        <f t="shared" si="366"/>
        <v>0</v>
      </c>
      <c r="BS201" s="241">
        <f t="shared" si="366"/>
        <v>0</v>
      </c>
      <c r="BT201" s="241">
        <f t="shared" si="376"/>
        <v>100337.4</v>
      </c>
    </row>
    <row r="202" spans="1:73" x14ac:dyDescent="0.25">
      <c r="A202" s="211" t="s">
        <v>299</v>
      </c>
      <c r="B202" s="241">
        <f>(9235*13)*1.05*1.03</f>
        <v>129839.4825</v>
      </c>
      <c r="C202" s="244"/>
      <c r="D202" s="244"/>
      <c r="E202" s="244"/>
      <c r="F202" s="244"/>
      <c r="G202" s="244"/>
      <c r="H202" s="241">
        <f t="shared" si="367"/>
        <v>129839.4825</v>
      </c>
      <c r="J202" s="241">
        <f>((19825*13)+12500+15500)*1.05*1.03</f>
        <v>309011.58750000002</v>
      </c>
      <c r="K202" s="244"/>
      <c r="L202" s="244"/>
      <c r="M202" s="244"/>
      <c r="N202" s="244"/>
      <c r="O202" s="244"/>
      <c r="P202" s="241">
        <f t="shared" si="368"/>
        <v>309011.58750000002</v>
      </c>
      <c r="R202" s="241">
        <f>(7770*13)*1.05*1.03</f>
        <v>109242.315</v>
      </c>
      <c r="S202" s="244"/>
      <c r="T202" s="244"/>
      <c r="U202" s="244"/>
      <c r="V202" s="244"/>
      <c r="W202" s="244"/>
      <c r="X202" s="241">
        <f t="shared" si="369"/>
        <v>109242.315</v>
      </c>
      <c r="Z202" s="241">
        <f>(8950*13)*1.05*1.03</f>
        <v>125832.52500000001</v>
      </c>
      <c r="AA202" s="244"/>
      <c r="AB202" s="244"/>
      <c r="AC202" s="244"/>
      <c r="AD202" s="244"/>
      <c r="AE202" s="244"/>
      <c r="AF202" s="241">
        <f t="shared" si="370"/>
        <v>125832.52500000001</v>
      </c>
      <c r="AH202" s="241">
        <f>((37000*12.5)+12500)*1.04*1.03</f>
        <v>508820</v>
      </c>
      <c r="AI202" s="244"/>
      <c r="AJ202" s="244"/>
      <c r="AK202" s="244"/>
      <c r="AL202" s="244"/>
      <c r="AM202" s="244"/>
      <c r="AN202" s="241">
        <f t="shared" si="371"/>
        <v>508820</v>
      </c>
      <c r="AP202" s="241">
        <f>(7500*12)*1.04</f>
        <v>93600</v>
      </c>
      <c r="AQ202" s="244"/>
      <c r="AR202" s="244"/>
      <c r="AS202" s="244"/>
      <c r="AT202" s="244"/>
      <c r="AU202" s="244"/>
      <c r="AV202" s="241">
        <f t="shared" si="372"/>
        <v>93600</v>
      </c>
      <c r="AX202" s="241"/>
      <c r="AY202" s="244"/>
      <c r="AZ202" s="244"/>
      <c r="BA202" s="244"/>
      <c r="BB202" s="244"/>
      <c r="BC202" s="244"/>
      <c r="BD202" s="241">
        <f t="shared" si="373"/>
        <v>0</v>
      </c>
      <c r="BF202" s="241"/>
      <c r="BG202" s="244"/>
      <c r="BH202" s="244"/>
      <c r="BI202" s="244"/>
      <c r="BJ202" s="244"/>
      <c r="BK202" s="244"/>
      <c r="BL202" s="241">
        <f t="shared" si="374"/>
        <v>0</v>
      </c>
      <c r="BN202" s="241">
        <f t="shared" si="375"/>
        <v>1276345.9100000001</v>
      </c>
      <c r="BO202" s="241">
        <f t="shared" si="366"/>
        <v>0</v>
      </c>
      <c r="BP202" s="241">
        <f t="shared" si="366"/>
        <v>0</v>
      </c>
      <c r="BQ202" s="241">
        <f t="shared" si="366"/>
        <v>0</v>
      </c>
      <c r="BR202" s="241">
        <f t="shared" si="366"/>
        <v>0</v>
      </c>
      <c r="BS202" s="241">
        <f t="shared" si="366"/>
        <v>0</v>
      </c>
      <c r="BT202" s="241">
        <f t="shared" si="376"/>
        <v>1276345.9100000001</v>
      </c>
    </row>
    <row r="203" spans="1:73" x14ac:dyDescent="0.25">
      <c r="A203" s="211" t="s">
        <v>300</v>
      </c>
      <c r="B203" s="241">
        <f>100000+5000+5000</f>
        <v>110000</v>
      </c>
      <c r="C203" s="244"/>
      <c r="D203" s="244"/>
      <c r="E203" s="244"/>
      <c r="F203" s="244"/>
      <c r="G203" s="244"/>
      <c r="H203" s="241">
        <f t="shared" si="367"/>
        <v>110000</v>
      </c>
      <c r="J203" s="241">
        <f>235000+10000</f>
        <v>245000</v>
      </c>
      <c r="K203" s="244"/>
      <c r="L203" s="244"/>
      <c r="M203" s="244"/>
      <c r="N203" s="244"/>
      <c r="O203" s="244"/>
      <c r="P203" s="241">
        <f t="shared" si="368"/>
        <v>245000</v>
      </c>
      <c r="R203" s="241">
        <f>105000+5000+5000</f>
        <v>115000</v>
      </c>
      <c r="S203" s="244"/>
      <c r="T203" s="244"/>
      <c r="U203" s="244"/>
      <c r="V203" s="244"/>
      <c r="W203" s="244"/>
      <c r="X203" s="241">
        <f t="shared" si="369"/>
        <v>115000</v>
      </c>
      <c r="Z203" s="241">
        <f>150000+5000+5000</f>
        <v>160000</v>
      </c>
      <c r="AA203" s="244"/>
      <c r="AB203" s="244"/>
      <c r="AC203" s="244"/>
      <c r="AD203" s="244"/>
      <c r="AE203" s="244"/>
      <c r="AF203" s="241">
        <f t="shared" si="370"/>
        <v>160000</v>
      </c>
      <c r="AH203" s="241">
        <f>165000+5000+5000</f>
        <v>175000</v>
      </c>
      <c r="AI203" s="244"/>
      <c r="AJ203" s="244"/>
      <c r="AK203" s="244"/>
      <c r="AL203" s="244"/>
      <c r="AM203" s="244"/>
      <c r="AN203" s="241">
        <f t="shared" si="371"/>
        <v>175000</v>
      </c>
      <c r="AP203" s="241">
        <f>55000+10000</f>
        <v>65000</v>
      </c>
      <c r="AQ203" s="244"/>
      <c r="AR203" s="244"/>
      <c r="AS203" s="244"/>
      <c r="AT203" s="244"/>
      <c r="AU203" s="244"/>
      <c r="AV203" s="241">
        <f t="shared" si="372"/>
        <v>65000</v>
      </c>
      <c r="AX203" s="241"/>
      <c r="AY203" s="244"/>
      <c r="AZ203" s="244"/>
      <c r="BA203" s="244"/>
      <c r="BB203" s="244"/>
      <c r="BC203" s="244"/>
      <c r="BD203" s="241">
        <f t="shared" si="373"/>
        <v>0</v>
      </c>
      <c r="BF203" s="241"/>
      <c r="BG203" s="244"/>
      <c r="BH203" s="244"/>
      <c r="BI203" s="244"/>
      <c r="BJ203" s="244"/>
      <c r="BK203" s="244"/>
      <c r="BL203" s="241">
        <f t="shared" si="374"/>
        <v>0</v>
      </c>
      <c r="BN203" s="241">
        <f t="shared" si="375"/>
        <v>870000</v>
      </c>
      <c r="BO203" s="241">
        <f t="shared" si="366"/>
        <v>0</v>
      </c>
      <c r="BP203" s="241">
        <f t="shared" si="366"/>
        <v>0</v>
      </c>
      <c r="BQ203" s="241">
        <f t="shared" si="366"/>
        <v>0</v>
      </c>
      <c r="BR203" s="241">
        <f t="shared" si="366"/>
        <v>0</v>
      </c>
      <c r="BS203" s="241">
        <f t="shared" si="366"/>
        <v>0</v>
      </c>
      <c r="BT203" s="241">
        <f t="shared" si="376"/>
        <v>870000</v>
      </c>
    </row>
    <row r="204" spans="1:73" x14ac:dyDescent="0.25">
      <c r="A204" s="211" t="s">
        <v>301</v>
      </c>
      <c r="B204" s="241">
        <v>0</v>
      </c>
      <c r="C204" s="244"/>
      <c r="D204" s="244"/>
      <c r="E204" s="244"/>
      <c r="F204" s="244"/>
      <c r="G204" s="244"/>
      <c r="H204" s="241">
        <f t="shared" si="367"/>
        <v>0</v>
      </c>
      <c r="J204" s="241">
        <v>0</v>
      </c>
      <c r="K204" s="244"/>
      <c r="L204" s="244"/>
      <c r="M204" s="244"/>
      <c r="N204" s="244"/>
      <c r="O204" s="244"/>
      <c r="P204" s="241">
        <f t="shared" si="368"/>
        <v>0</v>
      </c>
      <c r="R204" s="241">
        <v>0</v>
      </c>
      <c r="S204" s="244"/>
      <c r="T204" s="244"/>
      <c r="U204" s="244"/>
      <c r="V204" s="244"/>
      <c r="W204" s="244"/>
      <c r="X204" s="241">
        <f t="shared" si="369"/>
        <v>0</v>
      </c>
      <c r="Z204" s="241"/>
      <c r="AA204" s="244"/>
      <c r="AB204" s="244"/>
      <c r="AC204" s="244"/>
      <c r="AD204" s="244"/>
      <c r="AE204" s="244"/>
      <c r="AF204" s="241">
        <f t="shared" si="370"/>
        <v>0</v>
      </c>
      <c r="AH204" s="241"/>
      <c r="AI204" s="244"/>
      <c r="AJ204" s="244"/>
      <c r="AK204" s="244"/>
      <c r="AL204" s="244"/>
      <c r="AM204" s="244"/>
      <c r="AN204" s="241">
        <f t="shared" si="371"/>
        <v>0</v>
      </c>
      <c r="AP204" s="241">
        <v>0</v>
      </c>
      <c r="AQ204" s="244"/>
      <c r="AR204" s="244"/>
      <c r="AS204" s="244"/>
      <c r="AT204" s="244"/>
      <c r="AU204" s="244"/>
      <c r="AV204" s="241">
        <f t="shared" si="372"/>
        <v>0</v>
      </c>
      <c r="AX204" s="241"/>
      <c r="AY204" s="244"/>
      <c r="AZ204" s="244"/>
      <c r="BA204" s="244"/>
      <c r="BB204" s="244"/>
      <c r="BC204" s="244"/>
      <c r="BD204" s="241">
        <f t="shared" si="373"/>
        <v>0</v>
      </c>
      <c r="BF204" s="241"/>
      <c r="BG204" s="244"/>
      <c r="BH204" s="244"/>
      <c r="BI204" s="244"/>
      <c r="BJ204" s="244"/>
      <c r="BK204" s="244"/>
      <c r="BL204" s="241">
        <f t="shared" si="374"/>
        <v>0</v>
      </c>
      <c r="BN204" s="241">
        <f t="shared" si="375"/>
        <v>0</v>
      </c>
      <c r="BO204" s="241">
        <f t="shared" si="366"/>
        <v>0</v>
      </c>
      <c r="BP204" s="241">
        <f t="shared" si="366"/>
        <v>0</v>
      </c>
      <c r="BQ204" s="241">
        <f t="shared" si="366"/>
        <v>0</v>
      </c>
      <c r="BR204" s="241">
        <f t="shared" si="366"/>
        <v>0</v>
      </c>
      <c r="BS204" s="241">
        <f t="shared" si="366"/>
        <v>0</v>
      </c>
      <c r="BT204" s="241">
        <f t="shared" si="376"/>
        <v>0</v>
      </c>
    </row>
    <row r="205" spans="1:73" x14ac:dyDescent="0.25">
      <c r="A205" s="211" t="s">
        <v>302</v>
      </c>
      <c r="B205" s="241">
        <f>(((700*1.04)*12)+17500)*1.03*1.03</f>
        <v>27833.772400000002</v>
      </c>
      <c r="C205" s="244"/>
      <c r="D205" s="244"/>
      <c r="E205" s="244"/>
      <c r="F205" s="244"/>
      <c r="G205" s="244"/>
      <c r="H205" s="241">
        <f t="shared" si="367"/>
        <v>27833.772400000002</v>
      </c>
      <c r="J205" s="241">
        <f>(((1200*1.04)*12)+20000)*1.02*1.03</f>
        <v>36745.785600000003</v>
      </c>
      <c r="K205" s="244"/>
      <c r="L205" s="244"/>
      <c r="M205" s="244"/>
      <c r="N205" s="244"/>
      <c r="O205" s="244"/>
      <c r="P205" s="241">
        <f t="shared" si="368"/>
        <v>36745.785600000003</v>
      </c>
      <c r="R205" s="241">
        <f>((960*1.04)+17500)*1.03*1.03</f>
        <v>19624.952560000002</v>
      </c>
      <c r="S205" s="244"/>
      <c r="T205" s="244"/>
      <c r="U205" s="244"/>
      <c r="V205" s="244"/>
      <c r="W205" s="244"/>
      <c r="X205" s="241">
        <f t="shared" si="369"/>
        <v>19624.952560000002</v>
      </c>
      <c r="Z205" s="241">
        <f>(((625*1.04)*12)+15000)*1.02*1.02</f>
        <v>23721.119999999999</v>
      </c>
      <c r="AA205" s="244"/>
      <c r="AB205" s="244"/>
      <c r="AC205" s="244"/>
      <c r="AD205" s="244"/>
      <c r="AE205" s="244"/>
      <c r="AF205" s="241">
        <f t="shared" si="370"/>
        <v>23721.119999999999</v>
      </c>
      <c r="AH205" s="241">
        <f>(((1330*1.04)*12)+20000)*1.02*1.03</f>
        <v>38450.279040000001</v>
      </c>
      <c r="AI205" s="244"/>
      <c r="AJ205" s="244"/>
      <c r="AK205" s="244"/>
      <c r="AL205" s="244"/>
      <c r="AM205" s="244"/>
      <c r="AN205" s="241">
        <f t="shared" si="371"/>
        <v>38450.279040000001</v>
      </c>
      <c r="AP205" s="241">
        <f>25000*1.03</f>
        <v>25750</v>
      </c>
      <c r="AQ205" s="244"/>
      <c r="AR205" s="244"/>
      <c r="AS205" s="244"/>
      <c r="AT205" s="244"/>
      <c r="AU205" s="244"/>
      <c r="AV205" s="241">
        <f t="shared" si="372"/>
        <v>25750</v>
      </c>
      <c r="AX205" s="241"/>
      <c r="AY205" s="244"/>
      <c r="AZ205" s="244"/>
      <c r="BA205" s="244"/>
      <c r="BB205" s="244"/>
      <c r="BC205" s="244"/>
      <c r="BD205" s="241">
        <f t="shared" si="373"/>
        <v>0</v>
      </c>
      <c r="BF205" s="241"/>
      <c r="BG205" s="244"/>
      <c r="BH205" s="244"/>
      <c r="BI205" s="244"/>
      <c r="BJ205" s="244"/>
      <c r="BK205" s="244"/>
      <c r="BL205" s="241">
        <f t="shared" si="374"/>
        <v>0</v>
      </c>
      <c r="BN205" s="241">
        <f t="shared" si="375"/>
        <v>172125.90960000001</v>
      </c>
      <c r="BO205" s="241">
        <f t="shared" si="366"/>
        <v>0</v>
      </c>
      <c r="BP205" s="241">
        <f t="shared" si="366"/>
        <v>0</v>
      </c>
      <c r="BQ205" s="241">
        <f t="shared" si="366"/>
        <v>0</v>
      </c>
      <c r="BR205" s="241">
        <f t="shared" si="366"/>
        <v>0</v>
      </c>
      <c r="BS205" s="241">
        <f t="shared" si="366"/>
        <v>0</v>
      </c>
      <c r="BT205" s="241">
        <f t="shared" si="376"/>
        <v>172125.90960000001</v>
      </c>
    </row>
    <row r="206" spans="1:73" x14ac:dyDescent="0.25">
      <c r="A206" s="212" t="s">
        <v>303</v>
      </c>
      <c r="B206" s="241">
        <f>((6500*1.05)+25000)*1.03*1.03</f>
        <v>33763.142500000002</v>
      </c>
      <c r="C206" s="245"/>
      <c r="D206" s="245"/>
      <c r="E206" s="245"/>
      <c r="F206" s="245"/>
      <c r="G206" s="245"/>
      <c r="H206" s="241">
        <f t="shared" si="367"/>
        <v>33763.142500000002</v>
      </c>
      <c r="J206" s="241">
        <f>((29835*1.04)+25000)*1.02*1.03</f>
        <v>58863.437040000004</v>
      </c>
      <c r="K206" s="245"/>
      <c r="L206" s="245"/>
      <c r="M206" s="245"/>
      <c r="N206" s="245"/>
      <c r="O206" s="245"/>
      <c r="P206" s="241">
        <f t="shared" si="368"/>
        <v>58863.437040000004</v>
      </c>
      <c r="R206" s="241">
        <f>((9200*1.04)+15500)*1.03*1.03</f>
        <v>26594.641200000002</v>
      </c>
      <c r="S206" s="245"/>
      <c r="T206" s="245"/>
      <c r="U206" s="245"/>
      <c r="V206" s="245"/>
      <c r="W206" s="245"/>
      <c r="X206" s="241">
        <f t="shared" si="369"/>
        <v>26594.641200000002</v>
      </c>
      <c r="Z206" s="241">
        <f>((12675*1.04)+15000)*1.02*1.02</f>
        <v>29320.552800000001</v>
      </c>
      <c r="AA206" s="245"/>
      <c r="AB206" s="245"/>
      <c r="AC206" s="245"/>
      <c r="AD206" s="245"/>
      <c r="AE206" s="245"/>
      <c r="AF206" s="241">
        <f t="shared" si="370"/>
        <v>29320.552800000001</v>
      </c>
      <c r="AH206" s="241">
        <f>((26170*1.04)+25000)*1.02*1.03</f>
        <v>54858.970080000006</v>
      </c>
      <c r="AI206" s="245"/>
      <c r="AJ206" s="245"/>
      <c r="AK206" s="245"/>
      <c r="AL206" s="245"/>
      <c r="AM206" s="245"/>
      <c r="AN206" s="241">
        <f t="shared" si="371"/>
        <v>54858.970080000006</v>
      </c>
      <c r="AP206" s="241">
        <f>25000*1.03</f>
        <v>25750</v>
      </c>
      <c r="AQ206" s="245"/>
      <c r="AR206" s="245"/>
      <c r="AS206" s="245"/>
      <c r="AT206" s="245"/>
      <c r="AU206" s="245"/>
      <c r="AV206" s="241">
        <f t="shared" si="372"/>
        <v>25750</v>
      </c>
      <c r="AX206" s="241"/>
      <c r="AY206" s="245"/>
      <c r="AZ206" s="245"/>
      <c r="BA206" s="245"/>
      <c r="BB206" s="245"/>
      <c r="BC206" s="245"/>
      <c r="BD206" s="241">
        <f t="shared" si="373"/>
        <v>0</v>
      </c>
      <c r="BF206" s="241"/>
      <c r="BG206" s="245"/>
      <c r="BH206" s="245"/>
      <c r="BI206" s="245"/>
      <c r="BJ206" s="245"/>
      <c r="BK206" s="245"/>
      <c r="BL206" s="241">
        <f t="shared" si="374"/>
        <v>0</v>
      </c>
      <c r="BN206" s="241">
        <f t="shared" si="375"/>
        <v>229150.74361999999</v>
      </c>
      <c r="BO206" s="241">
        <f t="shared" si="366"/>
        <v>0</v>
      </c>
      <c r="BP206" s="241">
        <f t="shared" si="366"/>
        <v>0</v>
      </c>
      <c r="BQ206" s="241">
        <f t="shared" si="366"/>
        <v>0</v>
      </c>
      <c r="BR206" s="241">
        <f t="shared" si="366"/>
        <v>0</v>
      </c>
      <c r="BS206" s="241">
        <f t="shared" si="366"/>
        <v>0</v>
      </c>
      <c r="BT206" s="241">
        <f t="shared" si="376"/>
        <v>229150.74361999999</v>
      </c>
    </row>
    <row r="207" spans="1:73" x14ac:dyDescent="0.25">
      <c r="A207" s="213"/>
      <c r="B207" s="258">
        <f>SUM(B197:B206)</f>
        <v>501193.19740000006</v>
      </c>
      <c r="C207" s="258">
        <f t="shared" ref="C207:H207" si="377">SUM(C197:C206)</f>
        <v>0</v>
      </c>
      <c r="D207" s="258">
        <f t="shared" si="377"/>
        <v>0</v>
      </c>
      <c r="E207" s="258">
        <f t="shared" si="377"/>
        <v>0</v>
      </c>
      <c r="F207" s="258">
        <f t="shared" si="377"/>
        <v>0</v>
      </c>
      <c r="G207" s="258">
        <f t="shared" si="377"/>
        <v>0</v>
      </c>
      <c r="H207" s="258">
        <f t="shared" si="377"/>
        <v>501193.19740000006</v>
      </c>
      <c r="J207" s="258">
        <f>SUM(J197:J206)</f>
        <v>1088863.4101400001</v>
      </c>
      <c r="K207" s="258">
        <f t="shared" ref="K207:P207" si="378">SUM(K197:K206)</f>
        <v>0</v>
      </c>
      <c r="L207" s="258">
        <f t="shared" si="378"/>
        <v>0</v>
      </c>
      <c r="M207" s="258">
        <f t="shared" si="378"/>
        <v>0</v>
      </c>
      <c r="N207" s="258">
        <f t="shared" si="378"/>
        <v>0</v>
      </c>
      <c r="O207" s="258">
        <f t="shared" si="378"/>
        <v>0</v>
      </c>
      <c r="P207" s="258">
        <f t="shared" si="378"/>
        <v>1088863.4101400001</v>
      </c>
      <c r="R207" s="258">
        <f>SUM(R197:R206)</f>
        <v>445353.14876000001</v>
      </c>
      <c r="S207" s="258">
        <f t="shared" ref="S207:X207" si="379">SUM(S197:S206)</f>
        <v>0</v>
      </c>
      <c r="T207" s="258">
        <f t="shared" si="379"/>
        <v>0</v>
      </c>
      <c r="U207" s="258">
        <f t="shared" si="379"/>
        <v>0</v>
      </c>
      <c r="V207" s="258">
        <f t="shared" si="379"/>
        <v>0</v>
      </c>
      <c r="W207" s="258">
        <f t="shared" si="379"/>
        <v>0</v>
      </c>
      <c r="X207" s="258">
        <f t="shared" si="379"/>
        <v>445353.14876000001</v>
      </c>
      <c r="Z207" s="258">
        <f>SUM(Z197:Z206)</f>
        <v>533928.79779999994</v>
      </c>
      <c r="AA207" s="258">
        <f t="shared" ref="AA207:AF207" si="380">SUM(AA197:AA206)</f>
        <v>0</v>
      </c>
      <c r="AB207" s="258">
        <f t="shared" si="380"/>
        <v>0</v>
      </c>
      <c r="AC207" s="258">
        <f t="shared" si="380"/>
        <v>0</v>
      </c>
      <c r="AD207" s="258">
        <f t="shared" si="380"/>
        <v>0</v>
      </c>
      <c r="AE207" s="258">
        <f t="shared" si="380"/>
        <v>0</v>
      </c>
      <c r="AF207" s="258">
        <f t="shared" si="380"/>
        <v>533928.79779999994</v>
      </c>
      <c r="AH207" s="258">
        <f>SUM(AH197:AH206)</f>
        <v>1186526.64912</v>
      </c>
      <c r="AI207" s="258">
        <f t="shared" ref="AI207:AN207" si="381">SUM(AI197:AI206)</f>
        <v>0</v>
      </c>
      <c r="AJ207" s="258">
        <f t="shared" si="381"/>
        <v>0</v>
      </c>
      <c r="AK207" s="258">
        <f t="shared" si="381"/>
        <v>0</v>
      </c>
      <c r="AL207" s="258">
        <f t="shared" si="381"/>
        <v>0</v>
      </c>
      <c r="AM207" s="258">
        <f t="shared" si="381"/>
        <v>0</v>
      </c>
      <c r="AN207" s="258">
        <f t="shared" si="381"/>
        <v>1186526.64912</v>
      </c>
      <c r="AP207" s="258">
        <f>SUM(AP197:AP206)</f>
        <v>364995</v>
      </c>
      <c r="AQ207" s="258">
        <f t="shared" ref="AQ207:AV207" si="382">SUM(AQ197:AQ206)</f>
        <v>0</v>
      </c>
      <c r="AR207" s="258">
        <f t="shared" si="382"/>
        <v>0</v>
      </c>
      <c r="AS207" s="258">
        <f t="shared" si="382"/>
        <v>0</v>
      </c>
      <c r="AT207" s="258">
        <f t="shared" si="382"/>
        <v>0</v>
      </c>
      <c r="AU207" s="258">
        <f t="shared" si="382"/>
        <v>0</v>
      </c>
      <c r="AV207" s="258">
        <f t="shared" si="382"/>
        <v>364995</v>
      </c>
      <c r="AX207" s="258">
        <f>SUM(AX197:AX206)</f>
        <v>0</v>
      </c>
      <c r="AY207" s="258">
        <f t="shared" ref="AY207:BD207" si="383">SUM(AY197:AY206)</f>
        <v>0</v>
      </c>
      <c r="AZ207" s="258">
        <f t="shared" si="383"/>
        <v>0</v>
      </c>
      <c r="BA207" s="258">
        <f t="shared" si="383"/>
        <v>0</v>
      </c>
      <c r="BB207" s="258">
        <f t="shared" si="383"/>
        <v>0</v>
      </c>
      <c r="BC207" s="258">
        <f t="shared" si="383"/>
        <v>0</v>
      </c>
      <c r="BD207" s="258">
        <f t="shared" si="383"/>
        <v>0</v>
      </c>
      <c r="BF207" s="258">
        <f>SUM(BF197:BF206)</f>
        <v>0</v>
      </c>
      <c r="BG207" s="258">
        <f t="shared" ref="BG207:BL207" si="384">SUM(BG197:BG206)</f>
        <v>0</v>
      </c>
      <c r="BH207" s="258">
        <f t="shared" si="384"/>
        <v>0</v>
      </c>
      <c r="BI207" s="258">
        <f t="shared" si="384"/>
        <v>0</v>
      </c>
      <c r="BJ207" s="258">
        <f t="shared" si="384"/>
        <v>0</v>
      </c>
      <c r="BK207" s="258">
        <f t="shared" si="384"/>
        <v>0</v>
      </c>
      <c r="BL207" s="258">
        <f t="shared" si="384"/>
        <v>0</v>
      </c>
      <c r="BN207" s="258">
        <f>SUM(BN197:BN206)</f>
        <v>4120860.2032199996</v>
      </c>
      <c r="BO207" s="258">
        <f t="shared" ref="BO207:BT207" si="385">SUM(BO197:BO206)</f>
        <v>0</v>
      </c>
      <c r="BP207" s="258">
        <f t="shared" si="385"/>
        <v>0</v>
      </c>
      <c r="BQ207" s="258">
        <f t="shared" si="385"/>
        <v>0</v>
      </c>
      <c r="BR207" s="258">
        <f t="shared" si="385"/>
        <v>0</v>
      </c>
      <c r="BS207" s="258">
        <f t="shared" si="385"/>
        <v>0</v>
      </c>
      <c r="BT207" s="258">
        <f t="shared" si="385"/>
        <v>4120860.2032199996</v>
      </c>
    </row>
    <row r="208" spans="1:73" ht="16.5" thickBot="1" x14ac:dyDescent="0.3">
      <c r="B208" s="259"/>
      <c r="C208" s="259"/>
      <c r="D208" s="259"/>
      <c r="E208" s="259"/>
      <c r="F208" s="259"/>
      <c r="G208" s="259"/>
      <c r="H208" s="259"/>
      <c r="J208" s="259"/>
      <c r="K208" s="259"/>
      <c r="L208" s="259"/>
      <c r="M208" s="259"/>
      <c r="N208" s="259"/>
      <c r="O208" s="259"/>
      <c r="P208" s="259"/>
      <c r="R208" s="259"/>
      <c r="S208" s="259"/>
      <c r="T208" s="259"/>
      <c r="U208" s="259"/>
      <c r="V208" s="259"/>
      <c r="W208" s="259"/>
      <c r="X208" s="259"/>
      <c r="Z208" s="259"/>
      <c r="AA208" s="259"/>
      <c r="AB208" s="259"/>
      <c r="AC208" s="259"/>
      <c r="AD208" s="259"/>
      <c r="AE208" s="259"/>
      <c r="AF208" s="259"/>
      <c r="AH208" s="259"/>
      <c r="AI208" s="259"/>
      <c r="AJ208" s="259"/>
      <c r="AK208" s="259"/>
      <c r="AL208" s="259"/>
      <c r="AM208" s="259"/>
      <c r="AN208" s="259"/>
      <c r="AP208" s="259"/>
      <c r="AQ208" s="259"/>
      <c r="AR208" s="259"/>
      <c r="AS208" s="259"/>
      <c r="AT208" s="259"/>
      <c r="AU208" s="259"/>
      <c r="AV208" s="259"/>
      <c r="AX208" s="259"/>
      <c r="AY208" s="259"/>
      <c r="AZ208" s="259"/>
      <c r="BA208" s="259"/>
      <c r="BB208" s="259"/>
      <c r="BC208" s="259"/>
      <c r="BD208" s="259"/>
      <c r="BF208" s="259"/>
      <c r="BG208" s="259"/>
      <c r="BH208" s="259"/>
      <c r="BI208" s="259"/>
      <c r="BJ208" s="259"/>
      <c r="BK208" s="259"/>
      <c r="BL208" s="259"/>
      <c r="BN208" s="259"/>
      <c r="BO208" s="259"/>
      <c r="BP208" s="259"/>
      <c r="BQ208" s="259"/>
      <c r="BR208" s="259"/>
      <c r="BS208" s="259"/>
      <c r="BT208" s="259"/>
    </row>
    <row r="209" spans="1:72" ht="16.5" thickBot="1" x14ac:dyDescent="0.3">
      <c r="A209" s="284" t="s">
        <v>338</v>
      </c>
      <c r="B209" s="264">
        <f t="shared" ref="B209:H209" si="386">B207+B194+B171+B159+B149+B141+B132+B125+B116+B109</f>
        <v>7803851.3401437094</v>
      </c>
      <c r="C209" s="264">
        <f t="shared" si="386"/>
        <v>1422597.8228124999</v>
      </c>
      <c r="D209" s="264">
        <f t="shared" si="386"/>
        <v>315178</v>
      </c>
      <c r="E209" s="264">
        <f t="shared" si="386"/>
        <v>0</v>
      </c>
      <c r="F209" s="264">
        <f t="shared" si="386"/>
        <v>103096.125</v>
      </c>
      <c r="G209" s="264">
        <f t="shared" si="386"/>
        <v>300000</v>
      </c>
      <c r="H209" s="264">
        <f t="shared" si="386"/>
        <v>9944723.287956208</v>
      </c>
      <c r="J209" s="264">
        <f t="shared" ref="J209:P209" si="387">J207+J194+J171+J159+J149+J141+J132+J125+J116+J109</f>
        <v>21932121.136903852</v>
      </c>
      <c r="K209" s="264">
        <f t="shared" si="387"/>
        <v>2847046.00434</v>
      </c>
      <c r="L209" s="264">
        <f t="shared" si="387"/>
        <v>702794.66249999998</v>
      </c>
      <c r="M209" s="264">
        <f t="shared" si="387"/>
        <v>0</v>
      </c>
      <c r="N209" s="264">
        <f t="shared" si="387"/>
        <v>49770</v>
      </c>
      <c r="O209" s="264">
        <f t="shared" si="387"/>
        <v>1500000</v>
      </c>
      <c r="P209" s="264">
        <f t="shared" si="387"/>
        <v>27031731.803743854</v>
      </c>
      <c r="R209" s="264">
        <f t="shared" ref="R209:X209" si="388">R207+R194+R171+R159+R149+R141+R132+R125+R116+R109</f>
        <v>8796303.3719211798</v>
      </c>
      <c r="S209" s="264">
        <f t="shared" si="388"/>
        <v>1022272.4732117499</v>
      </c>
      <c r="T209" s="264">
        <f t="shared" si="388"/>
        <v>219600.09375</v>
      </c>
      <c r="U209" s="264">
        <f t="shared" si="388"/>
        <v>0</v>
      </c>
      <c r="V209" s="264">
        <f t="shared" si="388"/>
        <v>0</v>
      </c>
      <c r="W209" s="264">
        <f t="shared" si="388"/>
        <v>850000</v>
      </c>
      <c r="X209" s="264">
        <f t="shared" si="388"/>
        <v>10888175.938882928</v>
      </c>
      <c r="Z209" s="264">
        <f t="shared" ref="Z209:AF209" si="389">Z207+Z194+Z171+Z159+Z149+Z141+Z132+Z125+Z116+Z109</f>
        <v>10373571.698078983</v>
      </c>
      <c r="AA209" s="264">
        <f t="shared" si="389"/>
        <v>1182092.4992334999</v>
      </c>
      <c r="AB209" s="264">
        <f t="shared" si="389"/>
        <v>175327.9</v>
      </c>
      <c r="AC209" s="264">
        <f t="shared" si="389"/>
        <v>0</v>
      </c>
      <c r="AD209" s="264">
        <f t="shared" si="389"/>
        <v>0</v>
      </c>
      <c r="AE209" s="264">
        <f t="shared" si="389"/>
        <v>900000</v>
      </c>
      <c r="AF209" s="264">
        <f t="shared" si="389"/>
        <v>12630992.097312482</v>
      </c>
      <c r="AH209" s="264">
        <f t="shared" ref="AH209:AN209" si="390">AH207+AH194+AH171+AH159+AH149+AH141+AH132+AH125+AH116+AH109</f>
        <v>20813713.176757999</v>
      </c>
      <c r="AI209" s="264">
        <f t="shared" si="390"/>
        <v>2640451.6360750003</v>
      </c>
      <c r="AJ209" s="264">
        <f t="shared" si="390"/>
        <v>343866.02</v>
      </c>
      <c r="AK209" s="264">
        <f t="shared" si="390"/>
        <v>0</v>
      </c>
      <c r="AL209" s="264">
        <f t="shared" si="390"/>
        <v>0</v>
      </c>
      <c r="AM209" s="264">
        <f t="shared" si="390"/>
        <v>2500000</v>
      </c>
      <c r="AN209" s="264">
        <f t="shared" si="390"/>
        <v>26298030.832833</v>
      </c>
      <c r="AP209" s="264">
        <f t="shared" ref="AP209:AV209" si="391">AP207+AP194+AP171+AP159+AP149+AP141+AP132+AP125+AP116+AP109</f>
        <v>6270959.623935</v>
      </c>
      <c r="AQ209" s="264">
        <f t="shared" si="391"/>
        <v>980329.64374999993</v>
      </c>
      <c r="AR209" s="264">
        <f t="shared" si="391"/>
        <v>550570.58000000007</v>
      </c>
      <c r="AS209" s="264">
        <f t="shared" si="391"/>
        <v>0</v>
      </c>
      <c r="AT209" s="264">
        <f t="shared" si="391"/>
        <v>223915.90319000001</v>
      </c>
      <c r="AU209" s="264">
        <f t="shared" si="391"/>
        <v>100000</v>
      </c>
      <c r="AV209" s="264">
        <f t="shared" si="391"/>
        <v>8125775.7508749999</v>
      </c>
      <c r="AX209" s="264">
        <f t="shared" ref="AX209:BD209" si="392">AX207+AX194+AX171+AX159+AX149+AX141+AX132+AX125+AX116+AX109</f>
        <v>1516339.7654959997</v>
      </c>
      <c r="AY209" s="264">
        <f t="shared" si="392"/>
        <v>260158.21925000002</v>
      </c>
      <c r="AZ209" s="264">
        <f t="shared" si="392"/>
        <v>0</v>
      </c>
      <c r="BA209" s="264">
        <f t="shared" si="392"/>
        <v>0</v>
      </c>
      <c r="BB209" s="264">
        <f t="shared" si="392"/>
        <v>39347.19368525</v>
      </c>
      <c r="BC209" s="264">
        <f t="shared" si="392"/>
        <v>25000</v>
      </c>
      <c r="BD209" s="264">
        <f t="shared" si="392"/>
        <v>1840845.1784312497</v>
      </c>
      <c r="BF209" s="264">
        <f t="shared" ref="BF209:BL209" si="393">BF207+BF194+BF171+BF159+BF149+BF141+BF132+BF125+BF116+BF109</f>
        <v>559816.49683750002</v>
      </c>
      <c r="BG209" s="264">
        <f t="shared" si="393"/>
        <v>0</v>
      </c>
      <c r="BH209" s="264">
        <f t="shared" si="393"/>
        <v>39181.4375</v>
      </c>
      <c r="BI209" s="264">
        <f t="shared" si="393"/>
        <v>0</v>
      </c>
      <c r="BJ209" s="264">
        <f t="shared" si="393"/>
        <v>782534.41437499993</v>
      </c>
      <c r="BK209" s="264">
        <f t="shared" si="393"/>
        <v>0</v>
      </c>
      <c r="BL209" s="264">
        <f t="shared" si="393"/>
        <v>1381532.3487125002</v>
      </c>
      <c r="BN209" s="264">
        <f t="shared" ref="BN209:BT209" si="394">BN207+BN194+BN171+BN159+BN149+BN141+BN132+BN125+BN116+BN109</f>
        <v>78066676.610074222</v>
      </c>
      <c r="BO209" s="264">
        <f t="shared" si="394"/>
        <v>10354948.298672751</v>
      </c>
      <c r="BP209" s="264">
        <f t="shared" si="394"/>
        <v>2346518.6937500001</v>
      </c>
      <c r="BQ209" s="264">
        <f t="shared" si="394"/>
        <v>0</v>
      </c>
      <c r="BR209" s="264">
        <f t="shared" si="394"/>
        <v>1198663.63625025</v>
      </c>
      <c r="BS209" s="264">
        <f t="shared" si="394"/>
        <v>6175000</v>
      </c>
      <c r="BT209" s="264">
        <f t="shared" si="394"/>
        <v>98141807.238747209</v>
      </c>
    </row>
    <row r="210" spans="1:72" ht="16.5" thickBot="1" x14ac:dyDescent="0.3">
      <c r="B210" s="259"/>
      <c r="C210" s="259"/>
      <c r="D210" s="259"/>
      <c r="E210" s="259"/>
      <c r="F210" s="259"/>
      <c r="G210" s="259"/>
      <c r="H210" s="259"/>
    </row>
    <row r="211" spans="1:72" ht="16.5" thickBot="1" x14ac:dyDescent="0.3">
      <c r="A211" s="284" t="s">
        <v>339</v>
      </c>
      <c r="B211" s="265"/>
      <c r="C211" s="265"/>
      <c r="D211" s="265"/>
      <c r="E211" s="265"/>
      <c r="F211" s="265"/>
      <c r="G211" s="265"/>
      <c r="H211" s="265"/>
      <c r="J211" s="265"/>
      <c r="K211" s="265"/>
      <c r="L211" s="265"/>
      <c r="M211" s="265"/>
      <c r="N211" s="265"/>
      <c r="O211" s="265"/>
      <c r="P211" s="265"/>
      <c r="R211" s="265"/>
      <c r="S211" s="265"/>
      <c r="T211" s="265"/>
      <c r="U211" s="265"/>
      <c r="V211" s="265"/>
      <c r="W211" s="265"/>
      <c r="X211" s="265"/>
      <c r="Z211" s="265"/>
      <c r="AA211" s="265"/>
      <c r="AB211" s="265"/>
      <c r="AC211" s="265"/>
      <c r="AD211" s="265"/>
      <c r="AE211" s="265"/>
      <c r="AF211" s="265"/>
      <c r="AH211" s="265"/>
      <c r="AI211" s="265"/>
      <c r="AJ211" s="265"/>
      <c r="AK211" s="265"/>
      <c r="AL211" s="265"/>
      <c r="AM211" s="265"/>
      <c r="AN211" s="265"/>
      <c r="AP211" s="265"/>
      <c r="AQ211" s="265"/>
      <c r="AR211" s="265"/>
      <c r="AS211" s="265"/>
      <c r="AT211" s="265"/>
      <c r="AU211" s="265"/>
      <c r="AV211" s="265"/>
      <c r="AX211" s="265"/>
      <c r="AY211" s="265"/>
      <c r="AZ211" s="265"/>
      <c r="BA211" s="265"/>
      <c r="BB211" s="265"/>
      <c r="BC211" s="265"/>
      <c r="BD211" s="265"/>
      <c r="BF211" s="265"/>
      <c r="BG211" s="265"/>
      <c r="BH211" s="265"/>
      <c r="BI211" s="265"/>
      <c r="BJ211" s="265"/>
      <c r="BK211" s="265"/>
      <c r="BL211" s="265"/>
      <c r="BN211" s="265"/>
      <c r="BO211" s="265"/>
      <c r="BP211" s="265"/>
      <c r="BQ211" s="265"/>
      <c r="BR211" s="265"/>
      <c r="BS211" s="265"/>
      <c r="BT211" s="265"/>
    </row>
    <row r="212" spans="1:72" x14ac:dyDescent="0.25">
      <c r="A212" s="215" t="s">
        <v>304</v>
      </c>
      <c r="B212" s="266">
        <v>0</v>
      </c>
      <c r="C212" s="266"/>
      <c r="D212" s="266"/>
      <c r="E212" s="266"/>
      <c r="F212" s="266"/>
      <c r="G212" s="266"/>
      <c r="H212" s="241">
        <f>SUM(B212:G212)</f>
        <v>0</v>
      </c>
      <c r="J212" s="266">
        <v>2492750</v>
      </c>
      <c r="K212" s="266"/>
      <c r="L212" s="266"/>
      <c r="M212" s="266"/>
      <c r="N212" s="266"/>
      <c r="O212" s="266"/>
      <c r="P212" s="241">
        <f>SUM(J212:O212)</f>
        <v>2492750</v>
      </c>
      <c r="R212" s="266">
        <v>0</v>
      </c>
      <c r="S212" s="266"/>
      <c r="T212" s="266"/>
      <c r="U212" s="266"/>
      <c r="V212" s="266"/>
      <c r="W212" s="266"/>
      <c r="X212" s="241">
        <f>SUM(R212:W212)</f>
        <v>0</v>
      </c>
      <c r="Z212" s="266">
        <v>0</v>
      </c>
      <c r="AA212" s="266"/>
      <c r="AB212" s="266"/>
      <c r="AC212" s="266"/>
      <c r="AD212" s="266"/>
      <c r="AE212" s="266"/>
      <c r="AF212" s="241">
        <f>SUM(Z212:AE212)</f>
        <v>0</v>
      </c>
      <c r="AH212" s="266">
        <v>3565550</v>
      </c>
      <c r="AI212" s="266"/>
      <c r="AJ212" s="266"/>
      <c r="AK212" s="266"/>
      <c r="AL212" s="266"/>
      <c r="AM212" s="266"/>
      <c r="AN212" s="241">
        <f>SUM(AH212:AM212)</f>
        <v>3565550</v>
      </c>
      <c r="AP212" s="266"/>
      <c r="AQ212" s="266"/>
      <c r="AR212" s="266"/>
      <c r="AS212" s="266"/>
      <c r="AT212" s="266"/>
      <c r="AU212" s="266"/>
      <c r="AV212" s="241">
        <f>SUM(AP212:AU212)</f>
        <v>0</v>
      </c>
      <c r="AX212" s="266">
        <v>0</v>
      </c>
      <c r="AY212" s="266"/>
      <c r="AZ212" s="266"/>
      <c r="BA212" s="266"/>
      <c r="BB212" s="266"/>
      <c r="BC212" s="266"/>
      <c r="BD212" s="241">
        <f>SUM(AX212:BC212)</f>
        <v>0</v>
      </c>
      <c r="BF212" s="266"/>
      <c r="BG212" s="266"/>
      <c r="BH212" s="266"/>
      <c r="BI212" s="266"/>
      <c r="BJ212" s="266"/>
      <c r="BK212" s="266"/>
      <c r="BL212" s="241">
        <f>SUM(BF212:BK212)</f>
        <v>0</v>
      </c>
      <c r="BN212" s="241">
        <f>B212+J212+R212+Z212+AH212+AP212+AX212+BF212</f>
        <v>6058300</v>
      </c>
      <c r="BO212" s="241">
        <f t="shared" ref="BO212:BS215" si="395">C212+K212+S212+AA212+AI212+AQ212+AY212+BG212</f>
        <v>0</v>
      </c>
      <c r="BP212" s="241">
        <f t="shared" si="395"/>
        <v>0</v>
      </c>
      <c r="BQ212" s="241">
        <f t="shared" si="395"/>
        <v>0</v>
      </c>
      <c r="BR212" s="241">
        <f t="shared" si="395"/>
        <v>0</v>
      </c>
      <c r="BS212" s="241">
        <f t="shared" si="395"/>
        <v>0</v>
      </c>
      <c r="BT212" s="241">
        <f>SUM(BN212:BS212)</f>
        <v>6058300</v>
      </c>
    </row>
    <row r="213" spans="1:72" x14ac:dyDescent="0.25">
      <c r="A213" s="216" t="s">
        <v>386</v>
      </c>
      <c r="B213" s="267">
        <v>890115</v>
      </c>
      <c r="C213" s="267"/>
      <c r="D213" s="267"/>
      <c r="E213" s="267"/>
      <c r="F213" s="267"/>
      <c r="G213" s="267"/>
      <c r="H213" s="241">
        <f t="shared" ref="H213:H215" si="396">SUM(B213:G213)</f>
        <v>890115</v>
      </c>
      <c r="J213" s="267">
        <v>0</v>
      </c>
      <c r="K213" s="267"/>
      <c r="L213" s="267"/>
      <c r="M213" s="267"/>
      <c r="N213" s="267"/>
      <c r="O213" s="267"/>
      <c r="P213" s="241">
        <f t="shared" ref="P213:P215" si="397">SUM(J213:O213)</f>
        <v>0</v>
      </c>
      <c r="R213" s="267">
        <v>1007493</v>
      </c>
      <c r="S213" s="267"/>
      <c r="T213" s="267"/>
      <c r="U213" s="267"/>
      <c r="V213" s="267"/>
      <c r="W213" s="267"/>
      <c r="X213" s="241">
        <f t="shared" ref="X213:X215" si="398">SUM(R213:W213)</f>
        <v>1007493</v>
      </c>
      <c r="Z213" s="267">
        <v>1158128</v>
      </c>
      <c r="AA213" s="267"/>
      <c r="AB213" s="267"/>
      <c r="AC213" s="267"/>
      <c r="AD213" s="267"/>
      <c r="AE213" s="267"/>
      <c r="AF213" s="241">
        <f t="shared" ref="AF213:AF215" si="399">SUM(Z213:AE213)</f>
        <v>1158128</v>
      </c>
      <c r="AH213" s="267"/>
      <c r="AI213" s="267"/>
      <c r="AJ213" s="267"/>
      <c r="AK213" s="267"/>
      <c r="AL213" s="267"/>
      <c r="AM213" s="267"/>
      <c r="AN213" s="241">
        <f t="shared" ref="AN213:AN215" si="400">SUM(AH213:AM213)</f>
        <v>0</v>
      </c>
      <c r="AP213" s="267"/>
      <c r="AQ213" s="267"/>
      <c r="AR213" s="267"/>
      <c r="AS213" s="267"/>
      <c r="AT213" s="267"/>
      <c r="AU213" s="267"/>
      <c r="AV213" s="241">
        <f t="shared" ref="AV213:AV215" si="401">SUM(AP213:AU213)</f>
        <v>0</v>
      </c>
      <c r="AX213" s="267"/>
      <c r="AY213" s="267"/>
      <c r="AZ213" s="267"/>
      <c r="BA213" s="267"/>
      <c r="BB213" s="267"/>
      <c r="BC213" s="267"/>
      <c r="BD213" s="241">
        <f t="shared" ref="BD213:BD215" si="402">SUM(AX213:BC213)</f>
        <v>0</v>
      </c>
      <c r="BF213" s="267"/>
      <c r="BG213" s="267"/>
      <c r="BH213" s="267"/>
      <c r="BI213" s="267"/>
      <c r="BJ213" s="267"/>
      <c r="BK213" s="267"/>
      <c r="BL213" s="241">
        <f t="shared" ref="BL213:BL215" si="403">SUM(BF213:BK213)</f>
        <v>0</v>
      </c>
      <c r="BN213" s="241">
        <f t="shared" ref="BN213:BN215" si="404">B213+J213+R213+Z213+AH213+AP213+AX213+BF213</f>
        <v>3055736</v>
      </c>
      <c r="BO213" s="241">
        <f t="shared" si="395"/>
        <v>0</v>
      </c>
      <c r="BP213" s="241">
        <f t="shared" si="395"/>
        <v>0</v>
      </c>
      <c r="BQ213" s="241">
        <f t="shared" si="395"/>
        <v>0</v>
      </c>
      <c r="BR213" s="241">
        <f t="shared" si="395"/>
        <v>0</v>
      </c>
      <c r="BS213" s="241">
        <f t="shared" si="395"/>
        <v>0</v>
      </c>
      <c r="BT213" s="241">
        <f t="shared" ref="BT213:BT215" si="405">SUM(BN213:BS213)</f>
        <v>3055736</v>
      </c>
    </row>
    <row r="214" spans="1:72" x14ac:dyDescent="0.25">
      <c r="A214" s="216" t="s">
        <v>386</v>
      </c>
      <c r="B214" s="267"/>
      <c r="C214" s="267"/>
      <c r="D214" s="267"/>
      <c r="E214" s="267"/>
      <c r="F214" s="267"/>
      <c r="G214" s="267"/>
      <c r="H214" s="241">
        <f t="shared" si="396"/>
        <v>0</v>
      </c>
      <c r="J214" s="267">
        <v>0</v>
      </c>
      <c r="K214" s="267"/>
      <c r="L214" s="267"/>
      <c r="M214" s="267"/>
      <c r="N214" s="267"/>
      <c r="O214" s="267"/>
      <c r="P214" s="241">
        <f t="shared" si="397"/>
        <v>0</v>
      </c>
      <c r="R214" s="267"/>
      <c r="S214" s="267"/>
      <c r="T214" s="267"/>
      <c r="U214" s="267"/>
      <c r="V214" s="267"/>
      <c r="W214" s="267"/>
      <c r="X214" s="241">
        <f t="shared" si="398"/>
        <v>0</v>
      </c>
      <c r="Z214" s="267"/>
      <c r="AA214" s="267"/>
      <c r="AB214" s="267"/>
      <c r="AC214" s="267"/>
      <c r="AD214" s="267"/>
      <c r="AE214" s="267"/>
      <c r="AF214" s="241">
        <f t="shared" si="399"/>
        <v>0</v>
      </c>
      <c r="AH214" s="267"/>
      <c r="AI214" s="267"/>
      <c r="AJ214" s="267"/>
      <c r="AK214" s="267"/>
      <c r="AL214" s="267"/>
      <c r="AM214" s="267"/>
      <c r="AN214" s="241">
        <f t="shared" si="400"/>
        <v>0</v>
      </c>
      <c r="AP214" s="267">
        <v>1550000</v>
      </c>
      <c r="AQ214" s="267"/>
      <c r="AR214" s="267"/>
      <c r="AS214" s="267"/>
      <c r="AT214" s="267"/>
      <c r="AU214" s="267"/>
      <c r="AV214" s="241">
        <f t="shared" si="401"/>
        <v>1550000</v>
      </c>
      <c r="AX214" s="267"/>
      <c r="AY214" s="267"/>
      <c r="AZ214" s="267"/>
      <c r="BA214" s="267"/>
      <c r="BB214" s="267"/>
      <c r="BC214" s="267"/>
      <c r="BD214" s="241">
        <f t="shared" si="402"/>
        <v>0</v>
      </c>
      <c r="BF214" s="267"/>
      <c r="BG214" s="267"/>
      <c r="BH214" s="267"/>
      <c r="BI214" s="267"/>
      <c r="BJ214" s="267"/>
      <c r="BK214" s="267"/>
      <c r="BL214" s="241">
        <f t="shared" si="403"/>
        <v>0</v>
      </c>
      <c r="BN214" s="241">
        <f t="shared" si="404"/>
        <v>1550000</v>
      </c>
      <c r="BO214" s="241">
        <f t="shared" si="395"/>
        <v>0</v>
      </c>
      <c r="BP214" s="241">
        <f t="shared" si="395"/>
        <v>0</v>
      </c>
      <c r="BQ214" s="241">
        <f t="shared" si="395"/>
        <v>0</v>
      </c>
      <c r="BR214" s="241">
        <f t="shared" si="395"/>
        <v>0</v>
      </c>
      <c r="BS214" s="241">
        <f t="shared" si="395"/>
        <v>0</v>
      </c>
      <c r="BT214" s="241">
        <f t="shared" si="405"/>
        <v>1550000</v>
      </c>
    </row>
    <row r="215" spans="1:72" x14ac:dyDescent="0.25">
      <c r="A215" s="217" t="s">
        <v>307</v>
      </c>
      <c r="B215" s="268"/>
      <c r="C215" s="268"/>
      <c r="D215" s="268"/>
      <c r="E215" s="268"/>
      <c r="F215" s="268"/>
      <c r="G215" s="268"/>
      <c r="H215" s="241">
        <f t="shared" si="396"/>
        <v>0</v>
      </c>
      <c r="J215" s="268">
        <v>0</v>
      </c>
      <c r="K215" s="268"/>
      <c r="L215" s="268"/>
      <c r="M215" s="268"/>
      <c r="N215" s="268"/>
      <c r="O215" s="268"/>
      <c r="P215" s="241">
        <f t="shared" si="397"/>
        <v>0</v>
      </c>
      <c r="R215" s="268">
        <v>0</v>
      </c>
      <c r="S215" s="268"/>
      <c r="T215" s="268"/>
      <c r="U215" s="268"/>
      <c r="V215" s="268"/>
      <c r="W215" s="268"/>
      <c r="X215" s="241">
        <f t="shared" si="398"/>
        <v>0</v>
      </c>
      <c r="Z215" s="268">
        <v>0</v>
      </c>
      <c r="AA215" s="268"/>
      <c r="AB215" s="268"/>
      <c r="AC215" s="268"/>
      <c r="AD215" s="268"/>
      <c r="AE215" s="268"/>
      <c r="AF215" s="241">
        <f t="shared" si="399"/>
        <v>0</v>
      </c>
      <c r="AH215" s="268"/>
      <c r="AI215" s="268"/>
      <c r="AJ215" s="268"/>
      <c r="AK215" s="268"/>
      <c r="AL215" s="268"/>
      <c r="AM215" s="268"/>
      <c r="AN215" s="241">
        <f t="shared" si="400"/>
        <v>0</v>
      </c>
      <c r="AP215" s="268"/>
      <c r="AQ215" s="268"/>
      <c r="AR215" s="268"/>
      <c r="AS215" s="268"/>
      <c r="AT215" s="268"/>
      <c r="AU215" s="268"/>
      <c r="AV215" s="241">
        <f t="shared" si="401"/>
        <v>0</v>
      </c>
      <c r="AX215" s="268"/>
      <c r="AY215" s="268"/>
      <c r="AZ215" s="268"/>
      <c r="BA215" s="268"/>
      <c r="BB215" s="268"/>
      <c r="BC215" s="268"/>
      <c r="BD215" s="241">
        <f t="shared" si="402"/>
        <v>0</v>
      </c>
      <c r="BF215" s="268"/>
      <c r="BG215" s="268"/>
      <c r="BH215" s="268"/>
      <c r="BI215" s="268"/>
      <c r="BJ215" s="268"/>
      <c r="BK215" s="268"/>
      <c r="BL215" s="241">
        <f t="shared" si="403"/>
        <v>0</v>
      </c>
      <c r="BN215" s="241">
        <f t="shared" si="404"/>
        <v>0</v>
      </c>
      <c r="BO215" s="241">
        <f t="shared" si="395"/>
        <v>0</v>
      </c>
      <c r="BP215" s="241">
        <f t="shared" si="395"/>
        <v>0</v>
      </c>
      <c r="BQ215" s="241">
        <f t="shared" si="395"/>
        <v>0</v>
      </c>
      <c r="BR215" s="241">
        <f t="shared" si="395"/>
        <v>0</v>
      </c>
      <c r="BS215" s="241">
        <f t="shared" si="395"/>
        <v>0</v>
      </c>
      <c r="BT215" s="241">
        <f t="shared" si="405"/>
        <v>0</v>
      </c>
    </row>
    <row r="216" spans="1:72" x14ac:dyDescent="0.25">
      <c r="A216" s="207"/>
      <c r="B216" s="258">
        <f>SUM(B212:B215)</f>
        <v>890115</v>
      </c>
      <c r="C216" s="258">
        <f t="shared" ref="C216:H216" si="406">SUM(C212:C215)</f>
        <v>0</v>
      </c>
      <c r="D216" s="258">
        <f t="shared" si="406"/>
        <v>0</v>
      </c>
      <c r="E216" s="258">
        <f t="shared" si="406"/>
        <v>0</v>
      </c>
      <c r="F216" s="258">
        <f t="shared" si="406"/>
        <v>0</v>
      </c>
      <c r="G216" s="258">
        <f t="shared" si="406"/>
        <v>0</v>
      </c>
      <c r="H216" s="258">
        <f t="shared" si="406"/>
        <v>890115</v>
      </c>
      <c r="J216" s="258">
        <f>SUM(J212:J215)</f>
        <v>2492750</v>
      </c>
      <c r="K216" s="258">
        <f t="shared" ref="K216:P216" si="407">SUM(K212:K215)</f>
        <v>0</v>
      </c>
      <c r="L216" s="258">
        <f t="shared" si="407"/>
        <v>0</v>
      </c>
      <c r="M216" s="258">
        <f t="shared" si="407"/>
        <v>0</v>
      </c>
      <c r="N216" s="258">
        <f t="shared" si="407"/>
        <v>0</v>
      </c>
      <c r="O216" s="258">
        <f t="shared" si="407"/>
        <v>0</v>
      </c>
      <c r="P216" s="258">
        <f t="shared" si="407"/>
        <v>2492750</v>
      </c>
      <c r="R216" s="258">
        <f>SUM(R212:R215)</f>
        <v>1007493</v>
      </c>
      <c r="S216" s="258">
        <f t="shared" ref="S216:X216" si="408">SUM(S212:S215)</f>
        <v>0</v>
      </c>
      <c r="T216" s="258">
        <f t="shared" si="408"/>
        <v>0</v>
      </c>
      <c r="U216" s="258">
        <f t="shared" si="408"/>
        <v>0</v>
      </c>
      <c r="V216" s="258">
        <f t="shared" si="408"/>
        <v>0</v>
      </c>
      <c r="W216" s="258">
        <f t="shared" si="408"/>
        <v>0</v>
      </c>
      <c r="X216" s="258">
        <f t="shared" si="408"/>
        <v>1007493</v>
      </c>
      <c r="Z216" s="258">
        <f>SUM(Z212:Z215)</f>
        <v>1158128</v>
      </c>
      <c r="AA216" s="258">
        <f t="shared" ref="AA216:AF216" si="409">SUM(AA212:AA215)</f>
        <v>0</v>
      </c>
      <c r="AB216" s="258">
        <f t="shared" si="409"/>
        <v>0</v>
      </c>
      <c r="AC216" s="258">
        <f t="shared" si="409"/>
        <v>0</v>
      </c>
      <c r="AD216" s="258">
        <f t="shared" si="409"/>
        <v>0</v>
      </c>
      <c r="AE216" s="258">
        <f t="shared" si="409"/>
        <v>0</v>
      </c>
      <c r="AF216" s="258">
        <f t="shared" si="409"/>
        <v>1158128</v>
      </c>
      <c r="AH216" s="258">
        <f>SUM(AH212:AH215)</f>
        <v>3565550</v>
      </c>
      <c r="AI216" s="258">
        <f t="shared" ref="AI216:AN216" si="410">SUM(AI212:AI215)</f>
        <v>0</v>
      </c>
      <c r="AJ216" s="258">
        <f t="shared" si="410"/>
        <v>0</v>
      </c>
      <c r="AK216" s="258">
        <f t="shared" si="410"/>
        <v>0</v>
      </c>
      <c r="AL216" s="258">
        <f t="shared" si="410"/>
        <v>0</v>
      </c>
      <c r="AM216" s="258">
        <f t="shared" si="410"/>
        <v>0</v>
      </c>
      <c r="AN216" s="258">
        <f t="shared" si="410"/>
        <v>3565550</v>
      </c>
      <c r="AP216" s="258">
        <f>SUM(AP212:AP215)</f>
        <v>1550000</v>
      </c>
      <c r="AQ216" s="258">
        <f t="shared" ref="AQ216:AV216" si="411">SUM(AQ212:AQ215)</f>
        <v>0</v>
      </c>
      <c r="AR216" s="258">
        <f t="shared" si="411"/>
        <v>0</v>
      </c>
      <c r="AS216" s="258">
        <f t="shared" si="411"/>
        <v>0</v>
      </c>
      <c r="AT216" s="258">
        <f t="shared" si="411"/>
        <v>0</v>
      </c>
      <c r="AU216" s="258">
        <f t="shared" si="411"/>
        <v>0</v>
      </c>
      <c r="AV216" s="258">
        <f t="shared" si="411"/>
        <v>1550000</v>
      </c>
      <c r="AX216" s="258">
        <f>SUM(AX212:AX215)</f>
        <v>0</v>
      </c>
      <c r="AY216" s="258">
        <f t="shared" ref="AY216:BD216" si="412">SUM(AY212:AY215)</f>
        <v>0</v>
      </c>
      <c r="AZ216" s="258">
        <f t="shared" si="412"/>
        <v>0</v>
      </c>
      <c r="BA216" s="258">
        <f t="shared" si="412"/>
        <v>0</v>
      </c>
      <c r="BB216" s="258">
        <f t="shared" si="412"/>
        <v>0</v>
      </c>
      <c r="BC216" s="258">
        <f t="shared" si="412"/>
        <v>0</v>
      </c>
      <c r="BD216" s="258">
        <f t="shared" si="412"/>
        <v>0</v>
      </c>
      <c r="BF216" s="258">
        <f>SUM(BF212:BF215)</f>
        <v>0</v>
      </c>
      <c r="BG216" s="258">
        <f t="shared" ref="BG216:BL216" si="413">SUM(BG212:BG215)</f>
        <v>0</v>
      </c>
      <c r="BH216" s="258">
        <f t="shared" si="413"/>
        <v>0</v>
      </c>
      <c r="BI216" s="258">
        <f t="shared" si="413"/>
        <v>0</v>
      </c>
      <c r="BJ216" s="258">
        <f t="shared" si="413"/>
        <v>0</v>
      </c>
      <c r="BK216" s="258">
        <f t="shared" si="413"/>
        <v>0</v>
      </c>
      <c r="BL216" s="258">
        <f t="shared" si="413"/>
        <v>0</v>
      </c>
      <c r="BN216" s="258">
        <f>SUM(BN212:BN215)</f>
        <v>10664036</v>
      </c>
      <c r="BO216" s="258">
        <f t="shared" ref="BO216:BT216" si="414">SUM(BO212:BO215)</f>
        <v>0</v>
      </c>
      <c r="BP216" s="258">
        <f t="shared" si="414"/>
        <v>0</v>
      </c>
      <c r="BQ216" s="258">
        <f t="shared" si="414"/>
        <v>0</v>
      </c>
      <c r="BR216" s="258">
        <f t="shared" si="414"/>
        <v>0</v>
      </c>
      <c r="BS216" s="258">
        <f t="shared" si="414"/>
        <v>0</v>
      </c>
      <c r="BT216" s="258">
        <f t="shared" si="414"/>
        <v>10664036</v>
      </c>
    </row>
    <row r="217" spans="1:72" ht="16.5" thickBot="1" x14ac:dyDescent="0.3">
      <c r="B217" s="259"/>
      <c r="C217" s="259"/>
      <c r="D217" s="259"/>
      <c r="E217" s="259"/>
      <c r="F217" s="259"/>
      <c r="G217" s="259"/>
      <c r="H217" s="259"/>
      <c r="J217" s="259"/>
      <c r="K217" s="259"/>
      <c r="L217" s="259"/>
      <c r="M217" s="259"/>
      <c r="N217" s="259"/>
      <c r="O217" s="259"/>
      <c r="P217" s="259"/>
      <c r="R217" s="259"/>
      <c r="S217" s="259"/>
      <c r="T217" s="259"/>
      <c r="U217" s="259"/>
      <c r="V217" s="259"/>
      <c r="W217" s="259"/>
      <c r="X217" s="259"/>
      <c r="Z217" s="259"/>
      <c r="AA217" s="259"/>
      <c r="AB217" s="259"/>
      <c r="AC217" s="259"/>
      <c r="AD217" s="259"/>
      <c r="AE217" s="259"/>
      <c r="AF217" s="259"/>
      <c r="AH217" s="259"/>
      <c r="AI217" s="259"/>
      <c r="AJ217" s="259"/>
      <c r="AK217" s="259"/>
      <c r="AL217" s="259"/>
      <c r="AM217" s="259"/>
      <c r="AN217" s="259"/>
      <c r="AP217" s="259"/>
      <c r="AQ217" s="259"/>
      <c r="AR217" s="259"/>
      <c r="AS217" s="259"/>
      <c r="AT217" s="259"/>
      <c r="AU217" s="259"/>
      <c r="AV217" s="259"/>
      <c r="AX217" s="259"/>
      <c r="AY217" s="259"/>
      <c r="AZ217" s="259"/>
      <c r="BA217" s="259"/>
      <c r="BB217" s="259"/>
      <c r="BC217" s="259"/>
      <c r="BD217" s="259"/>
      <c r="BF217" s="259"/>
      <c r="BG217" s="259"/>
      <c r="BH217" s="259"/>
      <c r="BI217" s="259"/>
      <c r="BJ217" s="259"/>
      <c r="BK217" s="259"/>
      <c r="BL217" s="259"/>
      <c r="BN217" s="259"/>
      <c r="BO217" s="259"/>
      <c r="BP217" s="259"/>
      <c r="BQ217" s="259"/>
      <c r="BR217" s="259"/>
      <c r="BS217" s="259"/>
      <c r="BT217" s="259"/>
    </row>
    <row r="218" spans="1:72" ht="16.5" thickBot="1" x14ac:dyDescent="0.3">
      <c r="A218" s="218" t="s">
        <v>340</v>
      </c>
      <c r="B218" s="269">
        <f t="shared" ref="B218:H218" si="415">(B82+B88)-(B216+B209)</f>
        <v>805301.65985628963</v>
      </c>
      <c r="C218" s="269">
        <f t="shared" si="415"/>
        <v>-735555.82281249994</v>
      </c>
      <c r="D218" s="269">
        <f t="shared" si="415"/>
        <v>-53098</v>
      </c>
      <c r="E218" s="269">
        <f t="shared" si="415"/>
        <v>0</v>
      </c>
      <c r="F218" s="269">
        <f t="shared" si="415"/>
        <v>-5884.125</v>
      </c>
      <c r="G218" s="269">
        <f t="shared" si="415"/>
        <v>0</v>
      </c>
      <c r="H218" s="269">
        <f t="shared" si="415"/>
        <v>10763.712043792009</v>
      </c>
      <c r="J218" s="269">
        <f t="shared" ref="J218:P218" si="416">(J82+J88)-(J216+J209)</f>
        <v>1378653.8630961478</v>
      </c>
      <c r="K218" s="269">
        <f t="shared" si="416"/>
        <v>-1073355.00434</v>
      </c>
      <c r="L218" s="269">
        <f t="shared" si="416"/>
        <v>-181469.66249999998</v>
      </c>
      <c r="M218" s="269">
        <f t="shared" si="416"/>
        <v>0</v>
      </c>
      <c r="N218" s="269">
        <f t="shared" si="416"/>
        <v>0</v>
      </c>
      <c r="O218" s="269">
        <f t="shared" si="416"/>
        <v>0</v>
      </c>
      <c r="P218" s="269">
        <f t="shared" si="416"/>
        <v>123829.19625614583</v>
      </c>
      <c r="R218" s="269">
        <f t="shared" ref="R218:X218" si="417">(R82+R88)-(R216+R209)</f>
        <v>619737.62807882018</v>
      </c>
      <c r="S218" s="269">
        <f t="shared" si="417"/>
        <v>-471257.47321174992</v>
      </c>
      <c r="T218" s="269">
        <f t="shared" si="417"/>
        <v>-78903.09375</v>
      </c>
      <c r="U218" s="269">
        <f t="shared" si="417"/>
        <v>0</v>
      </c>
      <c r="V218" s="269">
        <f t="shared" si="417"/>
        <v>0</v>
      </c>
      <c r="W218" s="269">
        <f t="shared" si="417"/>
        <v>0</v>
      </c>
      <c r="X218" s="269">
        <f t="shared" si="417"/>
        <v>69577.061117071658</v>
      </c>
      <c r="Z218" s="269">
        <f t="shared" ref="Z218:AF218" si="418">(Z82+Z88)-(Z216+Z209)</f>
        <v>601692.30192101747</v>
      </c>
      <c r="AA218" s="269">
        <f t="shared" si="418"/>
        <v>-507986.49923349987</v>
      </c>
      <c r="AB218" s="269">
        <f t="shared" si="418"/>
        <v>-82509.099999999991</v>
      </c>
      <c r="AC218" s="269">
        <f t="shared" si="418"/>
        <v>0</v>
      </c>
      <c r="AD218" s="269">
        <f t="shared" si="418"/>
        <v>0</v>
      </c>
      <c r="AE218" s="269">
        <f t="shared" si="418"/>
        <v>0</v>
      </c>
      <c r="AF218" s="269">
        <f t="shared" si="418"/>
        <v>11196.702687518671</v>
      </c>
      <c r="AH218" s="269">
        <f t="shared" ref="AH218:AN218" si="419">(AH82+AH88)-(AH216+AH209)</f>
        <v>1420852.8232420012</v>
      </c>
      <c r="AI218" s="269">
        <f t="shared" si="419"/>
        <v>-1214580.6360750003</v>
      </c>
      <c r="AJ218" s="269">
        <f t="shared" si="419"/>
        <v>-104620.82000000004</v>
      </c>
      <c r="AK218" s="269">
        <f t="shared" si="419"/>
        <v>0</v>
      </c>
      <c r="AL218" s="269">
        <f t="shared" si="419"/>
        <v>0</v>
      </c>
      <c r="AM218" s="269">
        <f t="shared" si="419"/>
        <v>0</v>
      </c>
      <c r="AN218" s="269">
        <f t="shared" si="419"/>
        <v>101651.36716699973</v>
      </c>
      <c r="AP218" s="269">
        <f t="shared" ref="AP218:AV218" si="420">(AP82+AP88)-(AP216+AP209)</f>
        <v>597005.37606499996</v>
      </c>
      <c r="AQ218" s="269">
        <f t="shared" si="420"/>
        <v>-501681.64374999993</v>
      </c>
      <c r="AR218" s="269">
        <f t="shared" si="420"/>
        <v>-10163.780000000028</v>
      </c>
      <c r="AS218" s="269">
        <f t="shared" si="420"/>
        <v>0</v>
      </c>
      <c r="AT218" s="269">
        <f t="shared" si="420"/>
        <v>-58915.903190000012</v>
      </c>
      <c r="AU218" s="269">
        <f t="shared" si="420"/>
        <v>0</v>
      </c>
      <c r="AV218" s="269">
        <f t="shared" si="420"/>
        <v>26244.049124998972</v>
      </c>
      <c r="AX218" s="269">
        <f t="shared" ref="AX218:BD218" si="421">(AX82+AX88)-(AX216+AX209)</f>
        <v>332679.23450400028</v>
      </c>
      <c r="AY218" s="269">
        <f t="shared" si="421"/>
        <v>-138978.21925000002</v>
      </c>
      <c r="AZ218" s="269">
        <f t="shared" si="421"/>
        <v>0</v>
      </c>
      <c r="BA218" s="269">
        <f t="shared" si="421"/>
        <v>0</v>
      </c>
      <c r="BB218" s="269">
        <f t="shared" si="421"/>
        <v>-15827.19368525</v>
      </c>
      <c r="BC218" s="269">
        <f t="shared" si="421"/>
        <v>0</v>
      </c>
      <c r="BD218" s="269">
        <f t="shared" si="421"/>
        <v>177873.82156875031</v>
      </c>
      <c r="BF218" s="269">
        <f t="shared" ref="BF218:BL218" si="422">(BF82+BF88)-(BF216+BF209)</f>
        <v>100183.50316249998</v>
      </c>
      <c r="BG218" s="269">
        <f t="shared" si="422"/>
        <v>0</v>
      </c>
      <c r="BH218" s="269">
        <f t="shared" si="422"/>
        <v>-39181.4375</v>
      </c>
      <c r="BI218" s="269">
        <f t="shared" si="422"/>
        <v>0</v>
      </c>
      <c r="BJ218" s="269">
        <f t="shared" si="422"/>
        <v>-35107.414374999935</v>
      </c>
      <c r="BK218" s="269">
        <f t="shared" si="422"/>
        <v>0</v>
      </c>
      <c r="BL218" s="269">
        <f t="shared" si="422"/>
        <v>25894.651287499815</v>
      </c>
      <c r="BN218" s="269">
        <f t="shared" ref="BN218:BT218" si="423">(BN82+BN88)-(BN216+BN209)</f>
        <v>5856106.3899257779</v>
      </c>
      <c r="BO218" s="269">
        <f t="shared" si="423"/>
        <v>-4643395.2986727506</v>
      </c>
      <c r="BP218" s="269">
        <f t="shared" si="423"/>
        <v>-549945.89375000005</v>
      </c>
      <c r="BQ218" s="269">
        <f t="shared" si="423"/>
        <v>0</v>
      </c>
      <c r="BR218" s="269">
        <f t="shared" si="423"/>
        <v>-115734.63625025004</v>
      </c>
      <c r="BS218" s="269">
        <f t="shared" si="423"/>
        <v>0</v>
      </c>
      <c r="BT218" s="269">
        <f t="shared" si="423"/>
        <v>547030.56125278771</v>
      </c>
    </row>
    <row r="219" spans="1:72" x14ac:dyDescent="0.25">
      <c r="B219" s="259"/>
      <c r="C219" s="259"/>
      <c r="D219" s="259"/>
      <c r="E219" s="259"/>
      <c r="F219" s="259"/>
      <c r="G219" s="259"/>
      <c r="H219" s="270">
        <f>H218/(H68+H69+H70)</f>
        <v>1.1806396293754168E-3</v>
      </c>
      <c r="J219" s="259"/>
      <c r="K219" s="259"/>
      <c r="L219" s="259"/>
      <c r="M219" s="259"/>
      <c r="N219" s="259"/>
      <c r="O219" s="259"/>
      <c r="P219" s="270">
        <f>P218/(P68+P69+P70)</f>
        <v>5.0598786673896135E-3</v>
      </c>
      <c r="R219" s="259"/>
      <c r="S219" s="259"/>
      <c r="T219" s="259"/>
      <c r="U219" s="259"/>
      <c r="V219" s="259"/>
      <c r="W219" s="259"/>
      <c r="X219" s="270">
        <f>X218/(X68+X69+X70)</f>
        <v>6.8945752440277017E-3</v>
      </c>
      <c r="Z219" s="259"/>
      <c r="AA219" s="259"/>
      <c r="AB219" s="259"/>
      <c r="AC219" s="259"/>
      <c r="AD219" s="259"/>
      <c r="AE219" s="259"/>
      <c r="AF219" s="270">
        <f>AF218/(AF68+AF69+AF70)</f>
        <v>9.5021049011343004E-4</v>
      </c>
      <c r="AH219" s="259"/>
      <c r="AI219" s="259"/>
      <c r="AJ219" s="259"/>
      <c r="AK219" s="259"/>
      <c r="AL219" s="259"/>
      <c r="AM219" s="259"/>
      <c r="AN219" s="270">
        <f>AN218/(AN68+AN69+AN70)</f>
        <v>4.1058094328622436E-3</v>
      </c>
      <c r="AP219" s="259"/>
      <c r="AQ219" s="259"/>
      <c r="AR219" s="259"/>
      <c r="AS219" s="259"/>
      <c r="AT219" s="259"/>
      <c r="AU219" s="259"/>
      <c r="AV219" s="270">
        <f>AV218/(AV68+AV69+AV70)</f>
        <v>3.2666839840174975E-3</v>
      </c>
      <c r="AX219" s="259"/>
      <c r="AY219" s="259"/>
      <c r="AZ219" s="259"/>
      <c r="BA219" s="259"/>
      <c r="BB219" s="259"/>
      <c r="BC219" s="259"/>
      <c r="BD219" s="270">
        <f>BD218/(BD68+BD69+BD70)</f>
        <v>0.1009884709541609</v>
      </c>
      <c r="BF219" s="259"/>
      <c r="BG219" s="259"/>
      <c r="BH219" s="259"/>
      <c r="BI219" s="259"/>
      <c r="BJ219" s="259"/>
      <c r="BK219" s="259"/>
      <c r="BL219" s="270" t="e">
        <f>BL218/(BL68+BL69+BL70)</f>
        <v>#DIV/0!</v>
      </c>
      <c r="BN219" s="259"/>
      <c r="BO219" s="259"/>
      <c r="BP219" s="259"/>
      <c r="BQ219" s="259"/>
      <c r="BR219" s="259"/>
      <c r="BS219" s="259"/>
      <c r="BT219" s="270">
        <f>BT218/(BT68+BT69+BT70)</f>
        <v>6.0769235693786785E-3</v>
      </c>
    </row>
    <row r="220" spans="1:72" x14ac:dyDescent="0.25">
      <c r="A220" s="219" t="str">
        <f>A1</f>
        <v>Pinecrest Academy - FY28</v>
      </c>
      <c r="B220" s="271" t="str">
        <f t="shared" ref="B220:H220" si="424">B20</f>
        <v>Operating</v>
      </c>
      <c r="C220" s="271" t="str">
        <f t="shared" si="424"/>
        <v>SPED</v>
      </c>
      <c r="D220" s="271" t="str">
        <f t="shared" si="424"/>
        <v>NSLP</v>
      </c>
      <c r="E220" s="271" t="str">
        <f t="shared" si="424"/>
        <v>Other</v>
      </c>
      <c r="F220" s="271" t="str">
        <f t="shared" si="424"/>
        <v>Titles/Grants</v>
      </c>
      <c r="G220" s="271" t="str">
        <f t="shared" si="424"/>
        <v>SGF</v>
      </c>
      <c r="H220" s="271" t="str">
        <f t="shared" si="424"/>
        <v>Horizon</v>
      </c>
      <c r="J220" s="271" t="str">
        <f t="shared" ref="J220:P220" si="425">J20</f>
        <v>Operating</v>
      </c>
      <c r="K220" s="271" t="str">
        <f t="shared" si="425"/>
        <v>SPED</v>
      </c>
      <c r="L220" s="271" t="str">
        <f t="shared" si="425"/>
        <v>NSLP</v>
      </c>
      <c r="M220" s="271" t="str">
        <f t="shared" si="425"/>
        <v>Other</v>
      </c>
      <c r="N220" s="271" t="str">
        <f t="shared" si="425"/>
        <v>Titles/Grants</v>
      </c>
      <c r="O220" s="271" t="str">
        <f t="shared" si="425"/>
        <v>SGF</v>
      </c>
      <c r="P220" s="271" t="str">
        <f t="shared" si="425"/>
        <v>Cadence</v>
      </c>
      <c r="R220" s="271" t="str">
        <f t="shared" ref="R220:X220" si="426">R20</f>
        <v>Operating</v>
      </c>
      <c r="S220" s="271" t="str">
        <f t="shared" si="426"/>
        <v>SPED</v>
      </c>
      <c r="T220" s="271" t="str">
        <f t="shared" si="426"/>
        <v>NSLP</v>
      </c>
      <c r="U220" s="271" t="str">
        <f t="shared" si="426"/>
        <v>Other</v>
      </c>
      <c r="V220" s="271" t="str">
        <f t="shared" si="426"/>
        <v>Titles/Grants</v>
      </c>
      <c r="W220" s="271" t="str">
        <f t="shared" si="426"/>
        <v>SGF</v>
      </c>
      <c r="X220" s="271" t="str">
        <f t="shared" si="426"/>
        <v>St. Rose</v>
      </c>
      <c r="Z220" s="271" t="str">
        <f t="shared" ref="Z220:AF220" si="427">Z20</f>
        <v>Operating</v>
      </c>
      <c r="AA220" s="271" t="str">
        <f t="shared" si="427"/>
        <v>SPED</v>
      </c>
      <c r="AB220" s="271" t="str">
        <f t="shared" si="427"/>
        <v>NSLP</v>
      </c>
      <c r="AC220" s="271" t="str">
        <f t="shared" si="427"/>
        <v>Other</v>
      </c>
      <c r="AD220" s="271" t="str">
        <f t="shared" si="427"/>
        <v>Titles/Grants</v>
      </c>
      <c r="AE220" s="271" t="str">
        <f t="shared" si="427"/>
        <v>SGF</v>
      </c>
      <c r="AF220" s="271" t="str">
        <f t="shared" si="427"/>
        <v>Inspirada</v>
      </c>
      <c r="AH220" s="271" t="str">
        <f t="shared" ref="AH220:AN220" si="428">AH20</f>
        <v>Operating</v>
      </c>
      <c r="AI220" s="271" t="str">
        <f t="shared" si="428"/>
        <v>SPED</v>
      </c>
      <c r="AJ220" s="271" t="str">
        <f t="shared" si="428"/>
        <v>NSLP</v>
      </c>
      <c r="AK220" s="271" t="str">
        <f t="shared" si="428"/>
        <v>Other</v>
      </c>
      <c r="AL220" s="271" t="str">
        <f t="shared" si="428"/>
        <v>Titles/Grants</v>
      </c>
      <c r="AM220" s="271" t="str">
        <f t="shared" si="428"/>
        <v>SGF</v>
      </c>
      <c r="AN220" s="271" t="str">
        <f t="shared" si="428"/>
        <v>Sloan</v>
      </c>
      <c r="AP220" s="271" t="str">
        <f t="shared" ref="AP220:AV220" si="429">AP20</f>
        <v>Operating</v>
      </c>
      <c r="AQ220" s="271" t="str">
        <f t="shared" si="429"/>
        <v>SPED</v>
      </c>
      <c r="AR220" s="271" t="str">
        <f t="shared" si="429"/>
        <v>NSLP</v>
      </c>
      <c r="AS220" s="271" t="str">
        <f t="shared" si="429"/>
        <v>Other</v>
      </c>
      <c r="AT220" s="271" t="str">
        <f t="shared" si="429"/>
        <v>Titles/Grants</v>
      </c>
      <c r="AU220" s="271" t="str">
        <f t="shared" si="429"/>
        <v>SGF</v>
      </c>
      <c r="AV220" s="271" t="str">
        <f t="shared" si="429"/>
        <v>Springs</v>
      </c>
      <c r="AX220" s="271" t="str">
        <f t="shared" ref="AX220:BD220" si="430">AX20</f>
        <v>Operating</v>
      </c>
      <c r="AY220" s="271" t="str">
        <f t="shared" si="430"/>
        <v>SPED</v>
      </c>
      <c r="AZ220" s="271" t="str">
        <f t="shared" si="430"/>
        <v>NSLP</v>
      </c>
      <c r="BA220" s="271" t="str">
        <f t="shared" si="430"/>
        <v>Other</v>
      </c>
      <c r="BB220" s="271" t="str">
        <f t="shared" si="430"/>
        <v>Titles/Grants</v>
      </c>
      <c r="BC220" s="271" t="str">
        <f t="shared" si="430"/>
        <v>SGF</v>
      </c>
      <c r="BD220" s="271" t="str">
        <f t="shared" si="430"/>
        <v>Virtual</v>
      </c>
      <c r="BF220" s="271" t="str">
        <f t="shared" ref="BF220:BL220" si="431">BF20</f>
        <v>Operating</v>
      </c>
      <c r="BG220" s="271" t="str">
        <f t="shared" si="431"/>
        <v>SPED</v>
      </c>
      <c r="BH220" s="271" t="str">
        <f t="shared" si="431"/>
        <v>NSLP</v>
      </c>
      <c r="BI220" s="271" t="str">
        <f t="shared" si="431"/>
        <v>Other</v>
      </c>
      <c r="BJ220" s="271" t="str">
        <f t="shared" si="431"/>
        <v>Titles/Grants</v>
      </c>
      <c r="BK220" s="271" t="str">
        <f t="shared" si="431"/>
        <v>SGF</v>
      </c>
      <c r="BL220" s="271" t="str">
        <f t="shared" si="431"/>
        <v>Central</v>
      </c>
      <c r="BN220" s="271" t="str">
        <f t="shared" ref="BN220:BT220" si="432">BN20</f>
        <v>Operating</v>
      </c>
      <c r="BO220" s="271" t="str">
        <f t="shared" si="432"/>
        <v>SPED</v>
      </c>
      <c r="BP220" s="271" t="str">
        <f t="shared" si="432"/>
        <v>NSLP</v>
      </c>
      <c r="BQ220" s="271" t="str">
        <f t="shared" si="432"/>
        <v>Other</v>
      </c>
      <c r="BR220" s="271" t="str">
        <f t="shared" si="432"/>
        <v>Titles/Grants</v>
      </c>
      <c r="BS220" s="271" t="str">
        <f t="shared" si="432"/>
        <v>SGF</v>
      </c>
      <c r="BT220" s="271" t="str">
        <f t="shared" si="432"/>
        <v>System</v>
      </c>
    </row>
    <row r="222" spans="1:72" x14ac:dyDescent="0.25">
      <c r="D222" s="225"/>
      <c r="L222" s="225">
        <f>(L80+L81)-(L180+L181)</f>
        <v>88875</v>
      </c>
      <c r="AB222" s="225"/>
      <c r="AR222" s="225"/>
    </row>
    <row r="223" spans="1:72" x14ac:dyDescent="0.25">
      <c r="T223" s="225"/>
      <c r="U223" s="274"/>
      <c r="AJ223" s="225"/>
    </row>
    <row r="224" spans="1:72" x14ac:dyDescent="0.25">
      <c r="U224" s="274"/>
    </row>
    <row r="225" spans="16:40" x14ac:dyDescent="0.25">
      <c r="P225" s="225"/>
      <c r="U225" s="274"/>
    </row>
    <row r="226" spans="16:40" x14ac:dyDescent="0.25">
      <c r="U226" s="274"/>
    </row>
    <row r="227" spans="16:40" x14ac:dyDescent="0.25">
      <c r="U227" s="274"/>
    </row>
    <row r="228" spans="16:40" x14ac:dyDescent="0.25">
      <c r="U228" s="274"/>
    </row>
    <row r="229" spans="16:40" x14ac:dyDescent="0.25">
      <c r="U229" s="274"/>
    </row>
    <row r="230" spans="16:40" x14ac:dyDescent="0.25">
      <c r="U230" s="274"/>
      <c r="AN230" s="225"/>
    </row>
    <row r="231" spans="16:40" x14ac:dyDescent="0.25">
      <c r="U231" s="274"/>
      <c r="AN231" s="225"/>
    </row>
    <row r="232" spans="16:40" x14ac:dyDescent="0.25">
      <c r="U232" s="274"/>
    </row>
    <row r="233" spans="16:40" x14ac:dyDescent="0.25">
      <c r="U233" s="274"/>
    </row>
    <row r="234" spans="16:40" x14ac:dyDescent="0.25">
      <c r="U234" s="274"/>
    </row>
    <row r="244" spans="13:13" x14ac:dyDescent="0.25">
      <c r="M244" s="116">
        <v>9416</v>
      </c>
    </row>
    <row r="245" spans="13:13" x14ac:dyDescent="0.25">
      <c r="M245" s="116">
        <v>30</v>
      </c>
    </row>
    <row r="246" spans="13:13" x14ac:dyDescent="0.25">
      <c r="M246" s="274">
        <f>M244*M245</f>
        <v>282480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B253-BE08-4BC6-B7F3-EE52353C4E23}">
  <dimension ref="A1:BU246"/>
  <sheetViews>
    <sheetView topLeftCell="A40" workbookViewId="0">
      <pane xSplit="1" topLeftCell="AS1" activePane="topRight" state="frozen"/>
      <selection activeCell="C74" sqref="C74"/>
      <selection pane="topRight" activeCell="AX51" sqref="AX51"/>
    </sheetView>
  </sheetViews>
  <sheetFormatPr defaultRowHeight="15.75" x14ac:dyDescent="0.25"/>
  <cols>
    <col min="1" max="1" width="55.5703125" style="187" bestFit="1" customWidth="1"/>
    <col min="2" max="8" width="20.85546875" style="116" customWidth="1"/>
    <col min="10" max="16" width="20.85546875" style="116" customWidth="1"/>
    <col min="18" max="24" width="20.85546875" style="116" customWidth="1"/>
    <col min="25" max="25" width="12.7109375" bestFit="1" customWidth="1"/>
    <col min="26" max="32" width="20.85546875" style="116" customWidth="1"/>
    <col min="34" max="40" width="20.85546875" style="116" customWidth="1"/>
    <col min="42" max="48" width="20.85546875" style="116" customWidth="1"/>
    <col min="50" max="56" width="20.85546875" style="116" customWidth="1"/>
    <col min="58" max="64" width="20.85546875" style="116" customWidth="1"/>
    <col min="66" max="72" width="20.85546875" style="116" customWidth="1"/>
  </cols>
  <sheetData>
    <row r="1" spans="1:72" x14ac:dyDescent="0.25">
      <c r="A1" s="181" t="s">
        <v>370</v>
      </c>
      <c r="B1" s="181" t="s">
        <v>59</v>
      </c>
      <c r="J1" s="181" t="s">
        <v>60</v>
      </c>
      <c r="R1" s="181" t="s">
        <v>62</v>
      </c>
      <c r="Z1" s="181" t="s">
        <v>63</v>
      </c>
      <c r="AH1" s="181" t="s">
        <v>316</v>
      </c>
      <c r="AP1" s="181" t="s">
        <v>317</v>
      </c>
      <c r="AX1" s="181" t="s">
        <v>318</v>
      </c>
      <c r="BF1" s="181" t="s">
        <v>322</v>
      </c>
      <c r="BN1" s="181" t="s">
        <v>326</v>
      </c>
    </row>
    <row r="2" spans="1:72" x14ac:dyDescent="0.25">
      <c r="A2" s="182" t="s">
        <v>172</v>
      </c>
      <c r="B2" s="220">
        <v>9775</v>
      </c>
      <c r="J2" s="220">
        <f>B2</f>
        <v>9775</v>
      </c>
      <c r="R2" s="220">
        <f>J2</f>
        <v>9775</v>
      </c>
      <c r="Z2" s="220">
        <f>R2</f>
        <v>9775</v>
      </c>
      <c r="AH2" s="220">
        <f>Z2</f>
        <v>9775</v>
      </c>
      <c r="AP2" s="220">
        <f>AH2</f>
        <v>9775</v>
      </c>
      <c r="AX2" s="220">
        <f>AP2</f>
        <v>9775</v>
      </c>
      <c r="BF2" s="220">
        <f>AX2</f>
        <v>9775</v>
      </c>
      <c r="BN2" s="220">
        <f>BF2</f>
        <v>9775</v>
      </c>
    </row>
    <row r="3" spans="1:72" x14ac:dyDescent="0.25">
      <c r="A3" s="183" t="s">
        <v>75</v>
      </c>
      <c r="B3" s="221">
        <f>B4+B5+B6+B7+B8+B9+B10+B11+B12+B13+B14+B15+B16</f>
        <v>927</v>
      </c>
      <c r="C3" s="222"/>
      <c r="F3" s="181"/>
      <c r="G3" s="181"/>
      <c r="H3" s="181"/>
      <c r="J3" s="221">
        <f>J4+J5+J6+J7+J8+J9+J10+J11+J12+J13+J14+J15+J16</f>
        <v>2514</v>
      </c>
      <c r="K3" s="222"/>
      <c r="N3" s="181"/>
      <c r="O3" s="181"/>
      <c r="P3" s="181"/>
      <c r="R3" s="221">
        <f>R4+R5+R6+R7+R8+R9+R10+R11+R12+R13+R14+R15+R16</f>
        <v>1030</v>
      </c>
      <c r="S3" s="273"/>
      <c r="V3" s="181"/>
      <c r="W3" s="181"/>
      <c r="X3" s="181"/>
      <c r="Z3" s="221">
        <f>Z4+Z5+Z6+Z7+Z8+Z9+Z10+Z11+Z12+Z13+Z14+Z15+Z16</f>
        <v>1198</v>
      </c>
      <c r="AA3" s="273"/>
      <c r="AD3" s="181"/>
      <c r="AE3" s="181"/>
      <c r="AF3" s="181"/>
      <c r="AH3" s="221">
        <f>AH4+AH5+AH6+AH7+AH8+AH9+AH10+AH11+AH12+AH13+AH14+AH15+AH16</f>
        <v>2508</v>
      </c>
      <c r="AI3" s="273"/>
      <c r="AL3" s="181"/>
      <c r="AM3" s="181"/>
      <c r="AN3" s="181"/>
      <c r="AP3" s="221">
        <f>AP4+AP5+AP6+AP7+AP8+AP9+AP10+AP11+AP12+AP13+AP14+AP15+AP16</f>
        <v>914</v>
      </c>
      <c r="AQ3" s="273"/>
      <c r="AT3" s="181"/>
      <c r="AU3" s="181"/>
      <c r="AV3" s="181"/>
      <c r="AX3" s="221">
        <f>AX4+AX5+AX6+AX7+AX8+AX9+AX10+AX11+AX12+AX13+AX14+AX15+AX16</f>
        <v>182</v>
      </c>
      <c r="AY3" s="273"/>
      <c r="BB3" s="181"/>
      <c r="BC3" s="181"/>
      <c r="BD3" s="181"/>
      <c r="BF3" s="221">
        <f>BF4+BF5+BF6+BF7+BF8+BF9+BF10+BF11+BF12+BF13+BF14+BF15+BF16</f>
        <v>0</v>
      </c>
      <c r="BG3" s="222"/>
      <c r="BJ3" s="181"/>
      <c r="BK3" s="181"/>
      <c r="BL3" s="181"/>
      <c r="BN3" s="221">
        <f>BN4+BN5+BN6+BN7+BN8+BN9+BN10+BN11+BN12+BN13+BN14+BN15+BN16</f>
        <v>9273</v>
      </c>
      <c r="BO3" s="222"/>
      <c r="BR3" s="181"/>
      <c r="BS3" s="181"/>
      <c r="BT3" s="181"/>
    </row>
    <row r="4" spans="1:72" x14ac:dyDescent="0.25">
      <c r="A4" s="184" t="s">
        <v>77</v>
      </c>
      <c r="B4" s="223">
        <v>150</v>
      </c>
      <c r="C4" s="222"/>
      <c r="D4" s="187"/>
      <c r="E4" s="224"/>
      <c r="F4" s="225"/>
      <c r="G4" s="225"/>
      <c r="H4" s="225"/>
      <c r="J4" s="223">
        <f>125+5</f>
        <v>130</v>
      </c>
      <c r="K4" s="273">
        <v>5</v>
      </c>
      <c r="L4" s="187"/>
      <c r="M4" s="224"/>
      <c r="N4" s="225"/>
      <c r="O4" s="225"/>
      <c r="P4" s="225"/>
      <c r="R4" s="223">
        <f>100</f>
        <v>100</v>
      </c>
      <c r="S4" s="273">
        <v>4</v>
      </c>
      <c r="T4" s="187"/>
      <c r="U4" s="224"/>
      <c r="V4" s="225"/>
      <c r="W4" s="225"/>
      <c r="X4" s="225"/>
      <c r="Z4" s="223">
        <v>125</v>
      </c>
      <c r="AA4" s="273">
        <v>4</v>
      </c>
      <c r="AB4" s="187"/>
      <c r="AC4" s="224"/>
      <c r="AD4" s="225"/>
      <c r="AE4" s="225"/>
      <c r="AF4" s="225"/>
      <c r="AH4" s="227">
        <v>125</v>
      </c>
      <c r="AI4" s="273">
        <v>5</v>
      </c>
      <c r="AJ4" s="277"/>
      <c r="AK4" s="276"/>
      <c r="AL4" s="225"/>
      <c r="AM4" s="225"/>
      <c r="AN4" s="225"/>
      <c r="AP4" s="223">
        <v>100</v>
      </c>
      <c r="AQ4" s="273">
        <v>4</v>
      </c>
      <c r="AR4" s="187"/>
      <c r="AS4" s="224"/>
      <c r="AT4" s="225"/>
      <c r="AU4" s="225"/>
      <c r="AV4" s="225"/>
      <c r="AX4" s="223">
        <v>0</v>
      </c>
      <c r="AY4" s="273"/>
      <c r="AZ4" s="187"/>
      <c r="BA4" s="224"/>
      <c r="BB4" s="225"/>
      <c r="BC4" s="225"/>
      <c r="BD4" s="225"/>
      <c r="BF4" s="223"/>
      <c r="BG4" s="222"/>
      <c r="BH4" s="187"/>
      <c r="BI4" s="283"/>
      <c r="BJ4" s="225"/>
      <c r="BK4" s="225"/>
      <c r="BL4" s="225"/>
      <c r="BN4" s="223">
        <f>B4+J4+R4+Z4+AH4+AP4+AX4+BF4</f>
        <v>730</v>
      </c>
      <c r="BO4" s="222"/>
      <c r="BP4" s="187"/>
      <c r="BQ4" s="283"/>
      <c r="BR4" s="225"/>
      <c r="BS4" s="225"/>
      <c r="BT4" s="225"/>
    </row>
    <row r="5" spans="1:72" x14ac:dyDescent="0.25">
      <c r="A5" s="183" t="s">
        <v>78</v>
      </c>
      <c r="B5" s="223">
        <v>154</v>
      </c>
      <c r="C5" s="222"/>
      <c r="D5" s="187"/>
      <c r="E5" s="224"/>
      <c r="F5" s="225"/>
      <c r="G5" s="225"/>
      <c r="H5" s="225"/>
      <c r="J5" s="223">
        <f>130+5</f>
        <v>135</v>
      </c>
      <c r="K5" s="273">
        <v>5</v>
      </c>
      <c r="L5" s="187"/>
      <c r="M5" s="224"/>
      <c r="N5" s="225"/>
      <c r="O5" s="225"/>
      <c r="P5" s="225"/>
      <c r="R5" s="223">
        <v>104</v>
      </c>
      <c r="S5" s="273">
        <v>4</v>
      </c>
      <c r="T5" s="187"/>
      <c r="U5" s="224"/>
      <c r="V5" s="225"/>
      <c r="W5" s="225"/>
      <c r="X5" s="225"/>
      <c r="Z5" s="223">
        <v>129</v>
      </c>
      <c r="AA5" s="273">
        <v>4</v>
      </c>
      <c r="AB5" s="187"/>
      <c r="AC5" s="224"/>
      <c r="AD5" s="225"/>
      <c r="AE5" s="225"/>
      <c r="AF5" s="225"/>
      <c r="AH5" s="227">
        <v>125</v>
      </c>
      <c r="AI5" s="273">
        <v>5</v>
      </c>
      <c r="AJ5" s="278"/>
      <c r="AK5" s="276"/>
      <c r="AL5" s="225"/>
      <c r="AM5" s="225"/>
      <c r="AN5" s="225"/>
      <c r="AP5" s="223">
        <v>104</v>
      </c>
      <c r="AQ5" s="273">
        <v>4</v>
      </c>
      <c r="AR5" s="187"/>
      <c r="AS5" s="224"/>
      <c r="AT5" s="225"/>
      <c r="AU5" s="225"/>
      <c r="AV5" s="225"/>
      <c r="AX5" s="223">
        <v>0</v>
      </c>
      <c r="AY5" s="273"/>
      <c r="AZ5" s="187"/>
      <c r="BA5" s="224"/>
      <c r="BB5" s="225"/>
      <c r="BC5" s="225"/>
      <c r="BD5" s="225"/>
      <c r="BF5" s="223"/>
      <c r="BG5" s="222"/>
      <c r="BH5" s="187"/>
      <c r="BI5" s="283"/>
      <c r="BJ5" s="225"/>
      <c r="BK5" s="225"/>
      <c r="BL5" s="225"/>
      <c r="BN5" s="223">
        <f t="shared" ref="BN5:BN16" si="0">B5+J5+R5+Z5+AH5+AP5+AX5+BF5</f>
        <v>751</v>
      </c>
      <c r="BO5" s="222"/>
      <c r="BP5" s="187"/>
      <c r="BQ5" s="283"/>
      <c r="BR5" s="225"/>
      <c r="BS5" s="225"/>
      <c r="BT5" s="225"/>
    </row>
    <row r="6" spans="1:72" x14ac:dyDescent="0.25">
      <c r="A6" s="183" t="s">
        <v>79</v>
      </c>
      <c r="B6" s="223">
        <v>154</v>
      </c>
      <c r="C6" s="222"/>
      <c r="D6" s="187"/>
      <c r="E6" s="224"/>
      <c r="F6" s="225"/>
      <c r="G6" s="225"/>
      <c r="H6" s="225"/>
      <c r="J6" s="223">
        <f>135+10</f>
        <v>145</v>
      </c>
      <c r="K6" s="273">
        <v>5</v>
      </c>
      <c r="L6" s="187"/>
      <c r="M6" s="224"/>
      <c r="N6" s="225"/>
      <c r="O6" s="225"/>
      <c r="P6" s="225"/>
      <c r="R6" s="223">
        <v>108</v>
      </c>
      <c r="S6" s="273">
        <v>4</v>
      </c>
      <c r="T6" s="187"/>
      <c r="U6" s="224"/>
      <c r="V6" s="225"/>
      <c r="W6" s="225"/>
      <c r="X6" s="225"/>
      <c r="Z6" s="223">
        <v>129</v>
      </c>
      <c r="AA6" s="273">
        <v>4</v>
      </c>
      <c r="AB6" s="187"/>
      <c r="AC6" s="224"/>
      <c r="AD6" s="225"/>
      <c r="AE6" s="225"/>
      <c r="AF6" s="225"/>
      <c r="AH6" s="227">
        <v>132</v>
      </c>
      <c r="AI6" s="273">
        <v>5</v>
      </c>
      <c r="AJ6" s="278"/>
      <c r="AK6" s="276"/>
      <c r="AL6" s="225"/>
      <c r="AM6" s="225"/>
      <c r="AN6" s="225"/>
      <c r="AP6" s="223">
        <v>104</v>
      </c>
      <c r="AQ6" s="273">
        <v>4</v>
      </c>
      <c r="AR6" s="187"/>
      <c r="AS6" s="224"/>
      <c r="AT6" s="225"/>
      <c r="AU6" s="225"/>
      <c r="AV6" s="225"/>
      <c r="AX6" s="223">
        <v>0</v>
      </c>
      <c r="AY6" s="273"/>
      <c r="AZ6" s="187"/>
      <c r="BA6" s="224"/>
      <c r="BB6" s="225"/>
      <c r="BC6" s="225"/>
      <c r="BD6" s="225"/>
      <c r="BF6" s="223"/>
      <c r="BG6" s="222"/>
      <c r="BH6" s="187"/>
      <c r="BI6" s="283"/>
      <c r="BJ6" s="225"/>
      <c r="BK6" s="225"/>
      <c r="BL6" s="225"/>
      <c r="BN6" s="223">
        <f t="shared" si="0"/>
        <v>772</v>
      </c>
      <c r="BO6" s="222"/>
      <c r="BP6" s="187"/>
      <c r="BQ6" s="283"/>
      <c r="BR6" s="225"/>
      <c r="BS6" s="225"/>
      <c r="BT6" s="225"/>
    </row>
    <row r="7" spans="1:72" x14ac:dyDescent="0.25">
      <c r="A7" s="185" t="s">
        <v>80</v>
      </c>
      <c r="B7" s="223">
        <v>159</v>
      </c>
      <c r="C7" s="222"/>
      <c r="D7" s="187"/>
      <c r="E7" s="224"/>
      <c r="F7" s="225"/>
      <c r="G7" s="225"/>
      <c r="H7" s="225"/>
      <c r="J7" s="223">
        <f>135+10</f>
        <v>145</v>
      </c>
      <c r="K7" s="273">
        <v>5</v>
      </c>
      <c r="L7" s="187"/>
      <c r="M7" s="224"/>
      <c r="N7" s="225"/>
      <c r="O7" s="225"/>
      <c r="P7" s="225"/>
      <c r="R7" s="223">
        <f>112+4</f>
        <v>116</v>
      </c>
      <c r="S7" s="273">
        <v>4</v>
      </c>
      <c r="T7" s="187"/>
      <c r="U7" s="224"/>
      <c r="V7" s="225"/>
      <c r="W7" s="225"/>
      <c r="X7" s="225"/>
      <c r="Z7" s="223">
        <v>129</v>
      </c>
      <c r="AA7" s="273">
        <v>4</v>
      </c>
      <c r="AB7" s="187"/>
      <c r="AC7" s="224"/>
      <c r="AD7" s="225"/>
      <c r="AE7" s="225"/>
      <c r="AF7" s="225"/>
      <c r="AH7" s="227">
        <v>137</v>
      </c>
      <c r="AI7" s="273">
        <v>5</v>
      </c>
      <c r="AJ7" s="277"/>
      <c r="AK7" s="276"/>
      <c r="AL7" s="225"/>
      <c r="AM7" s="225"/>
      <c r="AN7" s="225"/>
      <c r="AP7" s="223">
        <v>108</v>
      </c>
      <c r="AQ7" s="273">
        <v>4</v>
      </c>
      <c r="AR7" s="187"/>
      <c r="AS7" s="224"/>
      <c r="AT7" s="225"/>
      <c r="AU7" s="225"/>
      <c r="AV7" s="225"/>
      <c r="AX7" s="223">
        <v>0</v>
      </c>
      <c r="AY7" s="273"/>
      <c r="AZ7" s="187"/>
      <c r="BA7" s="224"/>
      <c r="BB7" s="225"/>
      <c r="BC7" s="225"/>
      <c r="BD7" s="225"/>
      <c r="BF7" s="223"/>
      <c r="BG7" s="222"/>
      <c r="BH7" s="187"/>
      <c r="BI7" s="283"/>
      <c r="BJ7" s="225"/>
      <c r="BK7" s="225"/>
      <c r="BL7" s="225"/>
      <c r="BN7" s="223">
        <f t="shared" si="0"/>
        <v>794</v>
      </c>
      <c r="BO7" s="222"/>
      <c r="BP7" s="187"/>
      <c r="BQ7" s="283"/>
      <c r="BR7" s="225"/>
      <c r="BS7" s="225"/>
      <c r="BT7" s="225"/>
    </row>
    <row r="8" spans="1:72" x14ac:dyDescent="0.25">
      <c r="A8" s="185" t="s">
        <v>81</v>
      </c>
      <c r="B8" s="223">
        <f>158</f>
        <v>158</v>
      </c>
      <c r="C8" s="222"/>
      <c r="D8" s="187"/>
      <c r="E8" s="224"/>
      <c r="F8" s="225"/>
      <c r="G8" s="225"/>
      <c r="H8" s="225"/>
      <c r="J8" s="223">
        <f>140+10</f>
        <v>150</v>
      </c>
      <c r="K8" s="273">
        <v>5</v>
      </c>
      <c r="L8" s="187"/>
      <c r="M8" s="224"/>
      <c r="N8" s="225"/>
      <c r="O8" s="225"/>
      <c r="P8" s="225"/>
      <c r="R8" s="223">
        <f>111+4</f>
        <v>115</v>
      </c>
      <c r="S8" s="273">
        <v>4</v>
      </c>
      <c r="T8" s="187"/>
      <c r="U8" s="224"/>
      <c r="V8" s="225"/>
      <c r="W8" s="225"/>
      <c r="X8" s="225"/>
      <c r="Z8" s="223">
        <v>128</v>
      </c>
      <c r="AA8" s="273">
        <v>4</v>
      </c>
      <c r="AB8" s="187"/>
      <c r="AC8" s="224"/>
      <c r="AD8" s="225"/>
      <c r="AE8" s="225"/>
      <c r="AF8" s="225"/>
      <c r="AH8" s="227">
        <f>135+5</f>
        <v>140</v>
      </c>
      <c r="AI8" s="273">
        <v>5</v>
      </c>
      <c r="AJ8" s="277"/>
      <c r="AK8" s="276"/>
      <c r="AL8" s="225"/>
      <c r="AM8" s="225"/>
      <c r="AN8" s="225"/>
      <c r="AP8" s="223">
        <v>108</v>
      </c>
      <c r="AQ8" s="273">
        <v>4</v>
      </c>
      <c r="AR8" s="187"/>
      <c r="AS8" s="224"/>
      <c r="AT8" s="225"/>
      <c r="AU8" s="225"/>
      <c r="AV8" s="225"/>
      <c r="AX8" s="223">
        <v>0</v>
      </c>
      <c r="AY8" s="273"/>
      <c r="AZ8" s="187"/>
      <c r="BA8" s="224"/>
      <c r="BB8" s="225"/>
      <c r="BC8" s="225"/>
      <c r="BD8" s="225"/>
      <c r="BF8" s="223"/>
      <c r="BG8" s="222"/>
      <c r="BH8" s="187"/>
      <c r="BI8" s="283"/>
      <c r="BJ8" s="225"/>
      <c r="BK8" s="225"/>
      <c r="BL8" s="225"/>
      <c r="BN8" s="223">
        <f t="shared" si="0"/>
        <v>799</v>
      </c>
      <c r="BO8" s="222"/>
      <c r="BP8" s="187"/>
      <c r="BQ8" s="283"/>
      <c r="BR8" s="225"/>
      <c r="BS8" s="225"/>
      <c r="BT8" s="225"/>
    </row>
    <row r="9" spans="1:72" x14ac:dyDescent="0.25">
      <c r="A9" s="185" t="s">
        <v>82</v>
      </c>
      <c r="B9" s="223">
        <v>152</v>
      </c>
      <c r="C9" s="226"/>
      <c r="D9" s="187"/>
      <c r="E9" s="224"/>
      <c r="F9" s="225"/>
      <c r="G9" s="225"/>
      <c r="H9" s="225"/>
      <c r="J9" s="223">
        <f>145+10</f>
        <v>155</v>
      </c>
      <c r="K9" s="273">
        <v>5</v>
      </c>
      <c r="L9" s="187"/>
      <c r="M9" s="224"/>
      <c r="N9" s="225"/>
      <c r="O9" s="225"/>
      <c r="P9" s="225"/>
      <c r="R9" s="223">
        <v>120</v>
      </c>
      <c r="S9" s="273">
        <v>4</v>
      </c>
      <c r="T9" s="187"/>
      <c r="U9" s="224"/>
      <c r="V9" s="225"/>
      <c r="W9" s="225"/>
      <c r="X9" s="225"/>
      <c r="Z9" s="223">
        <v>135</v>
      </c>
      <c r="AA9" s="273">
        <v>4</v>
      </c>
      <c r="AB9" s="187"/>
      <c r="AC9" s="224"/>
      <c r="AD9" s="225"/>
      <c r="AE9" s="225"/>
      <c r="AF9" s="225"/>
      <c r="AH9" s="227">
        <f>135+5+2</f>
        <v>142</v>
      </c>
      <c r="AI9" s="273">
        <v>5</v>
      </c>
      <c r="AJ9" s="277"/>
      <c r="AK9" s="276"/>
      <c r="AL9" s="225"/>
      <c r="AM9" s="225"/>
      <c r="AN9" s="225"/>
      <c r="AP9" s="223">
        <v>108</v>
      </c>
      <c r="AQ9" s="273">
        <v>4</v>
      </c>
      <c r="AR9" s="187"/>
      <c r="AS9" s="224"/>
      <c r="AT9" s="225"/>
      <c r="AU9" s="225"/>
      <c r="AV9" s="225"/>
      <c r="AX9" s="223">
        <v>0</v>
      </c>
      <c r="AY9" s="273"/>
      <c r="AZ9" s="187"/>
      <c r="BA9" s="224"/>
      <c r="BB9" s="225"/>
      <c r="BC9" s="225"/>
      <c r="BD9" s="225"/>
      <c r="BF9" s="223"/>
      <c r="BG9" s="222"/>
      <c r="BH9" s="187"/>
      <c r="BI9" s="283"/>
      <c r="BJ9" s="225"/>
      <c r="BK9" s="225"/>
      <c r="BL9" s="225"/>
      <c r="BN9" s="223">
        <f t="shared" si="0"/>
        <v>812</v>
      </c>
      <c r="BO9" s="222"/>
      <c r="BP9" s="187"/>
      <c r="BQ9" s="283"/>
      <c r="BR9" s="225"/>
      <c r="BS9" s="225"/>
      <c r="BT9" s="225"/>
    </row>
    <row r="10" spans="1:72" x14ac:dyDescent="0.25">
      <c r="A10" s="185" t="s">
        <v>83</v>
      </c>
      <c r="B10" s="223">
        <v>0</v>
      </c>
      <c r="C10" s="222"/>
      <c r="D10" s="187"/>
      <c r="E10" s="224"/>
      <c r="F10" s="225"/>
      <c r="G10" s="225"/>
      <c r="H10" s="225"/>
      <c r="J10" s="223">
        <v>300</v>
      </c>
      <c r="K10" s="273">
        <v>10</v>
      </c>
      <c r="L10" s="187"/>
      <c r="M10" s="224"/>
      <c r="N10" s="225"/>
      <c r="O10" s="225"/>
      <c r="P10" s="225"/>
      <c r="R10" s="223">
        <v>123</v>
      </c>
      <c r="S10" s="273">
        <v>4</v>
      </c>
      <c r="T10" s="187"/>
      <c r="U10" s="224"/>
      <c r="V10" s="225"/>
      <c r="W10" s="225"/>
      <c r="X10" s="225"/>
      <c r="Z10" s="223">
        <v>140</v>
      </c>
      <c r="AA10" s="273">
        <v>4</v>
      </c>
      <c r="AB10" s="187"/>
      <c r="AC10" s="224"/>
      <c r="AD10" s="225"/>
      <c r="AE10" s="225"/>
      <c r="AF10" s="225"/>
      <c r="AH10" s="227">
        <v>153</v>
      </c>
      <c r="AI10" s="273">
        <v>5</v>
      </c>
      <c r="AJ10" s="277"/>
      <c r="AK10" s="276"/>
      <c r="AL10" s="225"/>
      <c r="AM10" s="225"/>
      <c r="AN10" s="225"/>
      <c r="AP10" s="223">
        <v>96</v>
      </c>
      <c r="AQ10" s="273">
        <v>3</v>
      </c>
      <c r="AR10" s="187"/>
      <c r="AS10" s="224"/>
      <c r="AT10" s="225"/>
      <c r="AU10" s="225"/>
      <c r="AV10" s="225"/>
      <c r="AX10" s="223">
        <v>36</v>
      </c>
      <c r="AY10" s="273"/>
      <c r="AZ10" s="187"/>
      <c r="BA10" s="224"/>
      <c r="BB10" s="225"/>
      <c r="BC10" s="225"/>
      <c r="BD10" s="225"/>
      <c r="BF10" s="223"/>
      <c r="BG10" s="222"/>
      <c r="BH10" s="187"/>
      <c r="BI10" s="283"/>
      <c r="BJ10" s="225"/>
      <c r="BK10" s="225"/>
      <c r="BL10" s="225"/>
      <c r="BN10" s="223">
        <f t="shared" si="0"/>
        <v>848</v>
      </c>
      <c r="BO10" s="222"/>
      <c r="BP10" s="187"/>
      <c r="BQ10" s="283"/>
      <c r="BR10" s="225"/>
      <c r="BS10" s="225"/>
      <c r="BT10" s="225"/>
    </row>
    <row r="11" spans="1:72" x14ac:dyDescent="0.25">
      <c r="A11" s="185" t="s">
        <v>84</v>
      </c>
      <c r="B11" s="223">
        <v>0</v>
      </c>
      <c r="C11" s="222"/>
      <c r="D11" s="219"/>
      <c r="E11" s="224"/>
      <c r="F11" s="225"/>
      <c r="G11" s="225"/>
      <c r="H11" s="225"/>
      <c r="J11" s="223">
        <v>279</v>
      </c>
      <c r="K11" s="273">
        <v>9</v>
      </c>
      <c r="L11" s="219"/>
      <c r="M11" s="224"/>
      <c r="N11" s="225"/>
      <c r="O11" s="225"/>
      <c r="P11" s="225"/>
      <c r="R11" s="223">
        <v>122</v>
      </c>
      <c r="S11" s="273">
        <v>4</v>
      </c>
      <c r="T11" s="219"/>
      <c r="U11" s="224"/>
      <c r="V11" s="225"/>
      <c r="W11" s="225"/>
      <c r="X11" s="225"/>
      <c r="Z11" s="223">
        <v>143</v>
      </c>
      <c r="AA11" s="273">
        <v>4</v>
      </c>
      <c r="AB11" s="219"/>
      <c r="AC11" s="224"/>
      <c r="AD11" s="225"/>
      <c r="AE11" s="225"/>
      <c r="AF11" s="225"/>
      <c r="AH11" s="227">
        <v>153</v>
      </c>
      <c r="AI11" s="273">
        <v>5</v>
      </c>
      <c r="AJ11" s="277"/>
      <c r="AK11" s="276"/>
      <c r="AL11" s="225"/>
      <c r="AM11" s="225"/>
      <c r="AN11" s="225"/>
      <c r="AP11" s="223">
        <v>93</v>
      </c>
      <c r="AQ11" s="273">
        <v>3</v>
      </c>
      <c r="AR11" s="219"/>
      <c r="AS11" s="224"/>
      <c r="AT11" s="225"/>
      <c r="AU11" s="225"/>
      <c r="AV11" s="225"/>
      <c r="AX11" s="223">
        <v>36</v>
      </c>
      <c r="AY11" s="273"/>
      <c r="AZ11" s="219"/>
      <c r="BA11" s="224"/>
      <c r="BB11" s="225"/>
      <c r="BC11" s="225"/>
      <c r="BD11" s="225"/>
      <c r="BF11" s="223"/>
      <c r="BG11" s="222"/>
      <c r="BH11" s="219"/>
      <c r="BI11" s="283"/>
      <c r="BJ11" s="225"/>
      <c r="BK11" s="225"/>
      <c r="BL11" s="225"/>
      <c r="BN11" s="223">
        <f t="shared" si="0"/>
        <v>826</v>
      </c>
      <c r="BO11" s="222"/>
      <c r="BP11" s="219"/>
      <c r="BQ11" s="283"/>
      <c r="BR11" s="225"/>
      <c r="BS11" s="225"/>
      <c r="BT11" s="225"/>
    </row>
    <row r="12" spans="1:72" x14ac:dyDescent="0.25">
      <c r="A12" s="185" t="s">
        <v>85</v>
      </c>
      <c r="B12" s="223">
        <v>0</v>
      </c>
      <c r="C12" s="222"/>
      <c r="D12" s="187"/>
      <c r="E12" s="224"/>
      <c r="F12" s="225"/>
      <c r="G12" s="225"/>
      <c r="H12" s="225"/>
      <c r="J12" s="223">
        <v>279</v>
      </c>
      <c r="K12" s="273">
        <v>9</v>
      </c>
      <c r="L12" s="187"/>
      <c r="M12" s="224"/>
      <c r="N12" s="225"/>
      <c r="O12" s="225"/>
      <c r="P12" s="225"/>
      <c r="R12" s="223">
        <v>122</v>
      </c>
      <c r="S12" s="273">
        <v>4</v>
      </c>
      <c r="T12" s="187"/>
      <c r="U12" s="224"/>
      <c r="V12" s="225"/>
      <c r="W12" s="225"/>
      <c r="X12" s="225"/>
      <c r="Z12" s="223">
        <v>140</v>
      </c>
      <c r="AA12" s="273">
        <v>4</v>
      </c>
      <c r="AB12" s="187"/>
      <c r="AC12" s="224"/>
      <c r="AD12" s="225"/>
      <c r="AE12" s="225"/>
      <c r="AF12" s="225"/>
      <c r="AH12" s="227">
        <v>153</v>
      </c>
      <c r="AI12" s="273">
        <v>5</v>
      </c>
      <c r="AJ12" s="277"/>
      <c r="AK12" s="276"/>
      <c r="AL12" s="225"/>
      <c r="AM12" s="225"/>
      <c r="AN12" s="225"/>
      <c r="AP12" s="223">
        <v>93</v>
      </c>
      <c r="AQ12" s="273">
        <v>3</v>
      </c>
      <c r="AR12" s="187"/>
      <c r="AS12" s="224"/>
      <c r="AT12" s="225"/>
      <c r="AU12" s="225"/>
      <c r="AV12" s="225"/>
      <c r="AX12" s="223">
        <v>36</v>
      </c>
      <c r="AY12" s="273"/>
      <c r="AZ12" s="187"/>
      <c r="BA12" s="224"/>
      <c r="BB12" s="225"/>
      <c r="BC12" s="225"/>
      <c r="BD12" s="225"/>
      <c r="BF12" s="223"/>
      <c r="BG12" s="222"/>
      <c r="BH12" s="187"/>
      <c r="BI12" s="283"/>
      <c r="BJ12" s="225"/>
      <c r="BK12" s="225"/>
      <c r="BL12" s="225"/>
      <c r="BN12" s="223">
        <f t="shared" si="0"/>
        <v>823</v>
      </c>
      <c r="BO12" s="222"/>
      <c r="BP12" s="187"/>
      <c r="BQ12" s="283"/>
      <c r="BR12" s="225"/>
      <c r="BS12" s="225"/>
      <c r="BT12" s="225"/>
    </row>
    <row r="13" spans="1:72" x14ac:dyDescent="0.25">
      <c r="A13" s="185" t="s">
        <v>86</v>
      </c>
      <c r="B13" s="227">
        <v>0</v>
      </c>
      <c r="C13" s="222"/>
      <c r="D13" s="219"/>
      <c r="E13" s="224"/>
      <c r="F13" s="225"/>
      <c r="G13" s="225"/>
      <c r="H13" s="225"/>
      <c r="J13" s="227">
        <v>217</v>
      </c>
      <c r="K13" s="273">
        <v>7</v>
      </c>
      <c r="L13" s="219"/>
      <c r="M13" s="224"/>
      <c r="N13" s="225"/>
      <c r="O13" s="225"/>
      <c r="P13" s="225"/>
      <c r="R13" s="227">
        <v>0</v>
      </c>
      <c r="S13" s="273"/>
      <c r="T13" s="219"/>
      <c r="U13" s="224"/>
      <c r="V13" s="225"/>
      <c r="W13" s="225"/>
      <c r="X13" s="225"/>
      <c r="Z13" s="227">
        <v>0</v>
      </c>
      <c r="AA13" s="273"/>
      <c r="AB13" s="219"/>
      <c r="AC13" s="224"/>
      <c r="AD13" s="225"/>
      <c r="AE13" s="225"/>
      <c r="AF13" s="225"/>
      <c r="AH13" s="227">
        <v>329</v>
      </c>
      <c r="AI13" s="273">
        <v>10</v>
      </c>
      <c r="AJ13" s="277"/>
      <c r="AK13" s="276"/>
      <c r="AL13" s="225"/>
      <c r="AM13" s="225"/>
      <c r="AN13" s="225"/>
      <c r="AP13" s="227">
        <v>0</v>
      </c>
      <c r="AQ13" s="273"/>
      <c r="AR13" s="219"/>
      <c r="AS13" s="224"/>
      <c r="AT13" s="225"/>
      <c r="AU13" s="225"/>
      <c r="AV13" s="225"/>
      <c r="AX13" s="227">
        <v>25</v>
      </c>
      <c r="AY13" s="273"/>
      <c r="AZ13" s="219"/>
      <c r="BA13" s="224"/>
      <c r="BB13" s="225"/>
      <c r="BC13" s="225"/>
      <c r="BD13" s="225"/>
      <c r="BF13" s="227"/>
      <c r="BG13" s="222"/>
      <c r="BH13" s="219"/>
      <c r="BI13" s="283"/>
      <c r="BJ13" s="225"/>
      <c r="BK13" s="225"/>
      <c r="BL13" s="225"/>
      <c r="BN13" s="223">
        <f t="shared" si="0"/>
        <v>571</v>
      </c>
      <c r="BO13" s="222"/>
      <c r="BP13" s="219"/>
      <c r="BQ13" s="283"/>
      <c r="BR13" s="225"/>
      <c r="BS13" s="225"/>
      <c r="BT13" s="225"/>
    </row>
    <row r="14" spans="1:72" x14ac:dyDescent="0.25">
      <c r="A14" s="185" t="s">
        <v>87</v>
      </c>
      <c r="B14" s="227">
        <v>0</v>
      </c>
      <c r="C14" s="222"/>
      <c r="J14" s="227">
        <v>217</v>
      </c>
      <c r="K14" s="273">
        <v>7</v>
      </c>
      <c r="R14" s="227">
        <v>0</v>
      </c>
      <c r="S14" s="273"/>
      <c r="Z14" s="227">
        <v>0</v>
      </c>
      <c r="AA14" s="273"/>
      <c r="AH14" s="227">
        <v>319</v>
      </c>
      <c r="AI14" s="273">
        <v>10</v>
      </c>
      <c r="AJ14" s="277"/>
      <c r="AP14" s="227">
        <v>0</v>
      </c>
      <c r="AQ14" s="273"/>
      <c r="AX14" s="227">
        <v>24</v>
      </c>
      <c r="AY14" s="273"/>
      <c r="BF14" s="227">
        <v>0</v>
      </c>
      <c r="BG14" s="222"/>
      <c r="BN14" s="223">
        <f t="shared" si="0"/>
        <v>560</v>
      </c>
      <c r="BO14" s="222"/>
    </row>
    <row r="15" spans="1:72" x14ac:dyDescent="0.25">
      <c r="A15" s="185" t="s">
        <v>88</v>
      </c>
      <c r="B15" s="227">
        <v>0</v>
      </c>
      <c r="C15" s="222"/>
      <c r="D15" s="222"/>
      <c r="E15" s="222"/>
      <c r="F15" s="222"/>
      <c r="J15" s="227">
        <v>188</v>
      </c>
      <c r="K15" s="273">
        <v>7</v>
      </c>
      <c r="L15" s="222"/>
      <c r="M15" s="222"/>
      <c r="N15" s="222"/>
      <c r="R15" s="227">
        <v>0</v>
      </c>
      <c r="S15" s="273"/>
      <c r="T15" s="222"/>
      <c r="U15" s="222"/>
      <c r="V15" s="222"/>
      <c r="Z15" s="227">
        <v>0</v>
      </c>
      <c r="AA15" s="273"/>
      <c r="AB15" s="222"/>
      <c r="AC15" s="222"/>
      <c r="AD15" s="222"/>
      <c r="AH15" s="227">
        <v>305</v>
      </c>
      <c r="AI15" s="273">
        <v>10</v>
      </c>
      <c r="AJ15" s="277"/>
      <c r="AK15" s="222"/>
      <c r="AL15" s="222"/>
      <c r="AP15" s="227">
        <v>0</v>
      </c>
      <c r="AQ15" s="273"/>
      <c r="AR15" s="222"/>
      <c r="AS15" s="222"/>
      <c r="AT15" s="222"/>
      <c r="AX15" s="227">
        <v>15</v>
      </c>
      <c r="AY15" s="273"/>
      <c r="AZ15" s="222"/>
      <c r="BA15" s="222"/>
      <c r="BB15" s="222"/>
      <c r="BF15" s="227">
        <v>0</v>
      </c>
      <c r="BG15" s="222"/>
      <c r="BH15" s="222"/>
      <c r="BI15" s="222"/>
      <c r="BJ15" s="222"/>
      <c r="BN15" s="223">
        <f t="shared" si="0"/>
        <v>508</v>
      </c>
      <c r="BO15" s="222"/>
      <c r="BP15" s="222"/>
      <c r="BQ15" s="222"/>
      <c r="BR15" s="222"/>
    </row>
    <row r="16" spans="1:72" x14ac:dyDescent="0.25">
      <c r="A16" s="185" t="s">
        <v>89</v>
      </c>
      <c r="B16" s="227">
        <v>0</v>
      </c>
      <c r="C16" s="222"/>
      <c r="D16" s="222"/>
      <c r="E16" s="222"/>
      <c r="F16" s="222"/>
      <c r="J16" s="227">
        <v>174</v>
      </c>
      <c r="K16" s="273">
        <v>6</v>
      </c>
      <c r="L16" s="222"/>
      <c r="M16" s="222"/>
      <c r="N16" s="222"/>
      <c r="R16" s="227">
        <v>0</v>
      </c>
      <c r="S16" s="273"/>
      <c r="T16" s="222"/>
      <c r="U16" s="222"/>
      <c r="V16" s="222"/>
      <c r="Z16" s="227">
        <v>0</v>
      </c>
      <c r="AA16" s="273"/>
      <c r="AB16" s="222"/>
      <c r="AC16" s="222"/>
      <c r="AD16" s="222"/>
      <c r="AH16" s="227">
        <v>295</v>
      </c>
      <c r="AI16" s="273">
        <v>10</v>
      </c>
      <c r="AJ16" s="277"/>
      <c r="AK16" s="222"/>
      <c r="AL16" s="222"/>
      <c r="AP16" s="227">
        <v>0</v>
      </c>
      <c r="AQ16" s="273"/>
      <c r="AR16" s="222"/>
      <c r="AS16" s="222"/>
      <c r="AT16" s="222"/>
      <c r="AX16" s="227">
        <v>10</v>
      </c>
      <c r="AY16" s="273"/>
      <c r="AZ16" s="222"/>
      <c r="BA16" s="222"/>
      <c r="BB16" s="222"/>
      <c r="BF16" s="227">
        <v>0</v>
      </c>
      <c r="BG16" s="222"/>
      <c r="BH16" s="222"/>
      <c r="BI16" s="222"/>
      <c r="BJ16" s="222"/>
      <c r="BN16" s="223">
        <f t="shared" si="0"/>
        <v>479</v>
      </c>
      <c r="BO16" s="222"/>
      <c r="BP16" s="222"/>
      <c r="BQ16" s="222"/>
      <c r="BR16" s="222"/>
    </row>
    <row r="17" spans="1:72" x14ac:dyDescent="0.25">
      <c r="A17" s="186" t="s">
        <v>75</v>
      </c>
      <c r="B17" s="221">
        <f>SUM(B4:B16)</f>
        <v>927</v>
      </c>
      <c r="C17" s="226">
        <f>B17*0.025</f>
        <v>23.175000000000001</v>
      </c>
      <c r="D17" s="222"/>
      <c r="E17" s="222"/>
      <c r="F17" s="222"/>
      <c r="J17" s="221">
        <f>SUM(J4:J16)</f>
        <v>2514</v>
      </c>
      <c r="K17" s="273">
        <f>SUM(K4:K16)</f>
        <v>85</v>
      </c>
      <c r="L17" s="226">
        <f>J17*0.025</f>
        <v>62.85</v>
      </c>
      <c r="M17" s="222"/>
      <c r="N17" s="222"/>
      <c r="R17" s="221">
        <f>SUM(R4:R16)</f>
        <v>1030</v>
      </c>
      <c r="S17" s="273">
        <f>SUM(S4:S16)</f>
        <v>36</v>
      </c>
      <c r="T17" s="222"/>
      <c r="U17" s="222"/>
      <c r="V17" s="222"/>
      <c r="Z17" s="221">
        <f>SUM(Z4:Z16)</f>
        <v>1198</v>
      </c>
      <c r="AA17" s="273">
        <f>SUM(AA4:AA16)</f>
        <v>36</v>
      </c>
      <c r="AB17" s="222"/>
      <c r="AC17" s="222"/>
      <c r="AD17" s="222"/>
      <c r="AH17" s="221">
        <f>SUM(AH4:AH16)</f>
        <v>2508</v>
      </c>
      <c r="AI17" s="273">
        <f>SUM(AI4:AI16)</f>
        <v>85</v>
      </c>
      <c r="AJ17" s="222"/>
      <c r="AK17" s="222"/>
      <c r="AL17" s="222"/>
      <c r="AP17" s="221">
        <f>SUM(AP4:AP16)</f>
        <v>914</v>
      </c>
      <c r="AQ17" s="273">
        <f>SUM(AQ4:AQ16)</f>
        <v>33</v>
      </c>
      <c r="AR17" s="222"/>
      <c r="AS17" s="222"/>
      <c r="AT17" s="222"/>
      <c r="AX17" s="221">
        <f>SUM(AX4:AX16)</f>
        <v>182</v>
      </c>
      <c r="AY17" s="273">
        <f>SUM(AY4:AY16)</f>
        <v>0</v>
      </c>
      <c r="AZ17" s="222"/>
      <c r="BA17" s="222"/>
      <c r="BB17" s="222"/>
      <c r="BF17" s="221">
        <f>SUM(BF4:BF16)</f>
        <v>0</v>
      </c>
      <c r="BG17" s="222"/>
      <c r="BH17" s="222"/>
      <c r="BI17" s="222"/>
      <c r="BJ17" s="222"/>
      <c r="BN17" s="221">
        <f>SUM(BN4:BN16)</f>
        <v>9273</v>
      </c>
      <c r="BO17" s="222"/>
      <c r="BP17" s="222"/>
      <c r="BQ17" s="222"/>
      <c r="BR17" s="222"/>
    </row>
    <row r="20" spans="1:72" x14ac:dyDescent="0.25">
      <c r="A20" s="188" t="s">
        <v>173</v>
      </c>
      <c r="B20" s="228" t="s">
        <v>309</v>
      </c>
      <c r="C20" s="228" t="s">
        <v>310</v>
      </c>
      <c r="D20" s="228" t="s">
        <v>311</v>
      </c>
      <c r="E20" s="228" t="s">
        <v>312</v>
      </c>
      <c r="F20" s="228" t="s">
        <v>313</v>
      </c>
      <c r="G20" s="228" t="s">
        <v>314</v>
      </c>
      <c r="H20" s="228" t="s">
        <v>59</v>
      </c>
      <c r="J20" s="228" t="s">
        <v>309</v>
      </c>
      <c r="K20" s="228" t="s">
        <v>310</v>
      </c>
      <c r="L20" s="228" t="s">
        <v>311</v>
      </c>
      <c r="M20" s="228" t="s">
        <v>312</v>
      </c>
      <c r="N20" s="228" t="s">
        <v>313</v>
      </c>
      <c r="O20" s="228" t="s">
        <v>314</v>
      </c>
      <c r="P20" s="228" t="s">
        <v>60</v>
      </c>
      <c r="R20" s="228" t="s">
        <v>309</v>
      </c>
      <c r="S20" s="228" t="s">
        <v>310</v>
      </c>
      <c r="T20" s="228" t="s">
        <v>311</v>
      </c>
      <c r="U20" s="228" t="s">
        <v>312</v>
      </c>
      <c r="V20" s="228" t="s">
        <v>313</v>
      </c>
      <c r="W20" s="228" t="s">
        <v>314</v>
      </c>
      <c r="X20" s="228" t="s">
        <v>62</v>
      </c>
      <c r="Z20" s="228" t="s">
        <v>309</v>
      </c>
      <c r="AA20" s="228" t="s">
        <v>310</v>
      </c>
      <c r="AB20" s="228" t="s">
        <v>311</v>
      </c>
      <c r="AC20" s="228" t="s">
        <v>312</v>
      </c>
      <c r="AD20" s="228" t="s">
        <v>313</v>
      </c>
      <c r="AE20" s="228" t="s">
        <v>314</v>
      </c>
      <c r="AF20" s="228" t="s">
        <v>63</v>
      </c>
      <c r="AH20" s="228" t="s">
        <v>309</v>
      </c>
      <c r="AI20" s="228" t="s">
        <v>310</v>
      </c>
      <c r="AJ20" s="228" t="s">
        <v>311</v>
      </c>
      <c r="AK20" s="228" t="s">
        <v>312</v>
      </c>
      <c r="AL20" s="228" t="s">
        <v>313</v>
      </c>
      <c r="AM20" s="228" t="s">
        <v>314</v>
      </c>
      <c r="AN20" s="228" t="s">
        <v>316</v>
      </c>
      <c r="AP20" s="228" t="s">
        <v>309</v>
      </c>
      <c r="AQ20" s="228" t="s">
        <v>310</v>
      </c>
      <c r="AR20" s="228" t="s">
        <v>311</v>
      </c>
      <c r="AS20" s="228" t="s">
        <v>312</v>
      </c>
      <c r="AT20" s="228" t="s">
        <v>313</v>
      </c>
      <c r="AU20" s="228" t="s">
        <v>314</v>
      </c>
      <c r="AV20" s="228" t="s">
        <v>317</v>
      </c>
      <c r="AX20" s="228" t="s">
        <v>309</v>
      </c>
      <c r="AY20" s="228" t="s">
        <v>310</v>
      </c>
      <c r="AZ20" s="228" t="s">
        <v>311</v>
      </c>
      <c r="BA20" s="228" t="s">
        <v>312</v>
      </c>
      <c r="BB20" s="228" t="s">
        <v>313</v>
      </c>
      <c r="BC20" s="228" t="s">
        <v>314</v>
      </c>
      <c r="BD20" s="228" t="s">
        <v>318</v>
      </c>
      <c r="BF20" s="228" t="s">
        <v>309</v>
      </c>
      <c r="BG20" s="228" t="s">
        <v>310</v>
      </c>
      <c r="BH20" s="228" t="s">
        <v>311</v>
      </c>
      <c r="BI20" s="228" t="s">
        <v>312</v>
      </c>
      <c r="BJ20" s="228" t="s">
        <v>313</v>
      </c>
      <c r="BK20" s="228" t="s">
        <v>314</v>
      </c>
      <c r="BL20" s="228" t="str">
        <f>BF1</f>
        <v>Central</v>
      </c>
      <c r="BN20" s="228" t="s">
        <v>309</v>
      </c>
      <c r="BO20" s="228" t="s">
        <v>310</v>
      </c>
      <c r="BP20" s="228" t="s">
        <v>311</v>
      </c>
      <c r="BQ20" s="228" t="s">
        <v>312</v>
      </c>
      <c r="BR20" s="228" t="s">
        <v>313</v>
      </c>
      <c r="BS20" s="228" t="s">
        <v>314</v>
      </c>
      <c r="BT20" s="228" t="str">
        <f>BN1</f>
        <v>System</v>
      </c>
    </row>
    <row r="21" spans="1:72" x14ac:dyDescent="0.25">
      <c r="A21" s="185" t="s">
        <v>174</v>
      </c>
      <c r="B21" s="227"/>
      <c r="C21" s="227">
        <v>112</v>
      </c>
      <c r="D21" s="227"/>
      <c r="E21" s="227"/>
      <c r="F21" s="227"/>
      <c r="G21" s="227"/>
      <c r="H21" s="227">
        <f>SUM(B21:G21)</f>
        <v>112</v>
      </c>
      <c r="J21" s="227"/>
      <c r="K21" s="227">
        <v>285</v>
      </c>
      <c r="L21" s="227"/>
      <c r="M21" s="227"/>
      <c r="N21" s="227"/>
      <c r="O21" s="227"/>
      <c r="P21" s="227">
        <f>SUM(J21:O21)</f>
        <v>285</v>
      </c>
      <c r="R21" s="227"/>
      <c r="S21" s="227">
        <v>80</v>
      </c>
      <c r="T21" s="227"/>
      <c r="U21" s="227"/>
      <c r="V21" s="227"/>
      <c r="W21" s="227"/>
      <c r="X21" s="227">
        <f>SUM(R21:W21)</f>
        <v>80</v>
      </c>
      <c r="Z21" s="227"/>
      <c r="AA21" s="227">
        <v>100</v>
      </c>
      <c r="AB21" s="227"/>
      <c r="AC21" s="227"/>
      <c r="AD21" s="227"/>
      <c r="AE21" s="227"/>
      <c r="AF21" s="227">
        <f>SUM(Z21:AE21)</f>
        <v>100</v>
      </c>
      <c r="AH21" s="227"/>
      <c r="AI21" s="227">
        <v>215</v>
      </c>
      <c r="AJ21" s="227"/>
      <c r="AK21" s="227"/>
      <c r="AL21" s="227"/>
      <c r="AM21" s="227"/>
      <c r="AN21" s="227">
        <f>SUM(AH21:AM21)</f>
        <v>215</v>
      </c>
      <c r="AP21" s="227"/>
      <c r="AQ21" s="227">
        <v>96</v>
      </c>
      <c r="AR21" s="227"/>
      <c r="AS21" s="227"/>
      <c r="AT21" s="227"/>
      <c r="AU21" s="227"/>
      <c r="AV21" s="227">
        <f>SUM(AP21:AU21)</f>
        <v>96</v>
      </c>
      <c r="AX21" s="227"/>
      <c r="AY21" s="227">
        <v>21</v>
      </c>
      <c r="AZ21" s="227"/>
      <c r="BA21" s="227"/>
      <c r="BB21" s="227"/>
      <c r="BC21" s="227"/>
      <c r="BD21" s="227">
        <f>SUM(AX21:BC21)</f>
        <v>21</v>
      </c>
      <c r="BF21" s="229"/>
      <c r="BG21" s="229"/>
      <c r="BH21" s="229"/>
      <c r="BI21" s="227"/>
      <c r="BJ21" s="227"/>
      <c r="BK21" s="227"/>
      <c r="BL21" s="227">
        <f>SUM(BF21:BK21)</f>
        <v>0</v>
      </c>
      <c r="BN21" s="229">
        <f>B21+J21+R21+Z21+AH21+AP21+AX21+BF21</f>
        <v>0</v>
      </c>
      <c r="BO21" s="229">
        <f t="shared" ref="BO21:BS25" si="1">C21+K21+S21+AA21+AI21+AQ21+AY21+BG21</f>
        <v>909</v>
      </c>
      <c r="BP21" s="229">
        <f t="shared" si="1"/>
        <v>0</v>
      </c>
      <c r="BQ21" s="229">
        <f t="shared" si="1"/>
        <v>0</v>
      </c>
      <c r="BR21" s="229">
        <f t="shared" si="1"/>
        <v>0</v>
      </c>
      <c r="BS21" s="229">
        <f t="shared" si="1"/>
        <v>0</v>
      </c>
      <c r="BT21" s="227">
        <f>SUM(BN21:BS21)</f>
        <v>909</v>
      </c>
    </row>
    <row r="22" spans="1:72" x14ac:dyDescent="0.25">
      <c r="A22" s="185" t="s">
        <v>175</v>
      </c>
      <c r="B22" s="227">
        <v>35</v>
      </c>
      <c r="C22" s="227"/>
      <c r="D22" s="227"/>
      <c r="E22" s="227"/>
      <c r="F22" s="227"/>
      <c r="G22" s="227"/>
      <c r="H22" s="227">
        <f>SUM(B22:G22)</f>
        <v>35</v>
      </c>
      <c r="J22" s="227">
        <v>50</v>
      </c>
      <c r="K22" s="227"/>
      <c r="L22" s="227"/>
      <c r="M22" s="227"/>
      <c r="N22" s="227"/>
      <c r="O22" s="227"/>
      <c r="P22" s="227">
        <f>SUM(J22:O22)</f>
        <v>50</v>
      </c>
      <c r="R22" s="227">
        <v>22</v>
      </c>
      <c r="S22" s="227"/>
      <c r="T22" s="227"/>
      <c r="U22" s="227"/>
      <c r="V22" s="227"/>
      <c r="W22" s="227"/>
      <c r="X22" s="227">
        <f>SUM(R22:W22)</f>
        <v>22</v>
      </c>
      <c r="Z22" s="227">
        <v>42</v>
      </c>
      <c r="AA22" s="227"/>
      <c r="AB22" s="227"/>
      <c r="AC22" s="227"/>
      <c r="AD22" s="227"/>
      <c r="AE22" s="227"/>
      <c r="AF22" s="227">
        <f>SUM(Z22:AE22)</f>
        <v>42</v>
      </c>
      <c r="AH22" s="227">
        <v>45</v>
      </c>
      <c r="AI22" s="227"/>
      <c r="AJ22" s="227"/>
      <c r="AK22" s="227"/>
      <c r="AL22" s="227"/>
      <c r="AM22" s="227"/>
      <c r="AN22" s="227">
        <f>SUM(AH22:AM22)</f>
        <v>45</v>
      </c>
      <c r="AP22" s="227">
        <v>47</v>
      </c>
      <c r="AQ22" s="227"/>
      <c r="AR22" s="227"/>
      <c r="AS22" s="227"/>
      <c r="AT22" s="227"/>
      <c r="AU22" s="227"/>
      <c r="AV22" s="227">
        <f>SUM(AP22:AU22)</f>
        <v>47</v>
      </c>
      <c r="AX22" s="227">
        <v>2</v>
      </c>
      <c r="AY22" s="227"/>
      <c r="AZ22" s="227"/>
      <c r="BA22" s="227"/>
      <c r="BB22" s="227"/>
      <c r="BC22" s="227"/>
      <c r="BD22" s="227">
        <f>SUM(AX22:BC22)</f>
        <v>2</v>
      </c>
      <c r="BF22" s="229"/>
      <c r="BG22" s="229"/>
      <c r="BH22" s="229"/>
      <c r="BI22" s="227"/>
      <c r="BJ22" s="227"/>
      <c r="BK22" s="227"/>
      <c r="BL22" s="227">
        <f>SUM(BF22:BK22)</f>
        <v>0</v>
      </c>
      <c r="BN22" s="229">
        <f t="shared" ref="BN22:BN25" si="2">B22+J22+R22+Z22+AH22+AP22+AX22+BF22</f>
        <v>243</v>
      </c>
      <c r="BO22" s="229">
        <f t="shared" si="1"/>
        <v>0</v>
      </c>
      <c r="BP22" s="229">
        <f t="shared" si="1"/>
        <v>0</v>
      </c>
      <c r="BQ22" s="229">
        <f t="shared" si="1"/>
        <v>0</v>
      </c>
      <c r="BR22" s="229">
        <f t="shared" si="1"/>
        <v>0</v>
      </c>
      <c r="BS22" s="229">
        <f t="shared" si="1"/>
        <v>0</v>
      </c>
      <c r="BT22" s="227">
        <f>SUM(BN22:BS22)</f>
        <v>243</v>
      </c>
    </row>
    <row r="23" spans="1:72" x14ac:dyDescent="0.25">
      <c r="A23" s="185" t="s">
        <v>176</v>
      </c>
      <c r="B23" s="229">
        <v>33</v>
      </c>
      <c r="C23" s="229"/>
      <c r="D23" s="229"/>
      <c r="E23" s="229"/>
      <c r="F23" s="229"/>
      <c r="G23" s="229"/>
      <c r="H23" s="227">
        <f>SUM(B23:G23)</f>
        <v>33</v>
      </c>
      <c r="J23" s="229">
        <v>40</v>
      </c>
      <c r="K23" s="229"/>
      <c r="L23" s="229"/>
      <c r="M23" s="229"/>
      <c r="N23" s="229"/>
      <c r="O23" s="229"/>
      <c r="P23" s="227">
        <f>SUM(J23:O23)</f>
        <v>40</v>
      </c>
      <c r="R23" s="229">
        <v>67</v>
      </c>
      <c r="S23" s="229"/>
      <c r="T23" s="229"/>
      <c r="U23" s="229"/>
      <c r="V23" s="229"/>
      <c r="W23" s="229"/>
      <c r="X23" s="227">
        <f>SUM(R23:W23)</f>
        <v>67</v>
      </c>
      <c r="Z23" s="229">
        <v>56</v>
      </c>
      <c r="AA23" s="229"/>
      <c r="AB23" s="229"/>
      <c r="AC23" s="229"/>
      <c r="AD23" s="229"/>
      <c r="AE23" s="229"/>
      <c r="AF23" s="227">
        <f>SUM(Z23:AE23)</f>
        <v>56</v>
      </c>
      <c r="AH23" s="229">
        <v>89</v>
      </c>
      <c r="AI23" s="229"/>
      <c r="AJ23" s="229"/>
      <c r="AK23" s="229"/>
      <c r="AL23" s="229"/>
      <c r="AM23" s="229"/>
      <c r="AN23" s="227">
        <f>SUM(AH23:AM23)</f>
        <v>89</v>
      </c>
      <c r="AP23" s="229">
        <v>0</v>
      </c>
      <c r="AQ23" s="229"/>
      <c r="AR23" s="229"/>
      <c r="AS23" s="229"/>
      <c r="AT23" s="229"/>
      <c r="AU23" s="229"/>
      <c r="AV23" s="227">
        <f>SUM(AP23:AU23)</f>
        <v>0</v>
      </c>
      <c r="AX23" s="229">
        <v>0</v>
      </c>
      <c r="AY23" s="229"/>
      <c r="AZ23" s="229"/>
      <c r="BA23" s="229"/>
      <c r="BB23" s="229"/>
      <c r="BC23" s="229"/>
      <c r="BD23" s="227">
        <f>SUM(AX23:BC23)</f>
        <v>0</v>
      </c>
      <c r="BF23" s="229"/>
      <c r="BG23" s="229"/>
      <c r="BH23" s="229"/>
      <c r="BI23" s="229"/>
      <c r="BJ23" s="229"/>
      <c r="BK23" s="229"/>
      <c r="BL23" s="227">
        <f>SUM(BF23:BK23)</f>
        <v>0</v>
      </c>
      <c r="BN23" s="229">
        <f t="shared" si="2"/>
        <v>285</v>
      </c>
      <c r="BO23" s="229">
        <f t="shared" si="1"/>
        <v>0</v>
      </c>
      <c r="BP23" s="229">
        <f t="shared" si="1"/>
        <v>0</v>
      </c>
      <c r="BQ23" s="229">
        <f t="shared" si="1"/>
        <v>0</v>
      </c>
      <c r="BR23" s="229">
        <f t="shared" si="1"/>
        <v>0</v>
      </c>
      <c r="BS23" s="229">
        <f t="shared" si="1"/>
        <v>0</v>
      </c>
      <c r="BT23" s="227">
        <f>SUM(BN23:BS23)</f>
        <v>285</v>
      </c>
    </row>
    <row r="24" spans="1:72" x14ac:dyDescent="0.25">
      <c r="A24" s="185" t="s">
        <v>177</v>
      </c>
      <c r="B24" s="229">
        <v>20</v>
      </c>
      <c r="C24" s="229"/>
      <c r="D24" s="229"/>
      <c r="E24" s="229"/>
      <c r="F24" s="229"/>
      <c r="G24" s="229"/>
      <c r="H24" s="227">
        <f>SUM(B24:G24)</f>
        <v>20</v>
      </c>
      <c r="J24" s="229">
        <f>55+60</f>
        <v>115</v>
      </c>
      <c r="K24" s="229"/>
      <c r="L24" s="229"/>
      <c r="M24" s="229"/>
      <c r="N24" s="229"/>
      <c r="O24" s="229"/>
      <c r="P24" s="227">
        <f>SUM(J24:O24)</f>
        <v>115</v>
      </c>
      <c r="R24" s="229">
        <v>8</v>
      </c>
      <c r="S24" s="229"/>
      <c r="T24" s="229"/>
      <c r="U24" s="229"/>
      <c r="V24" s="229"/>
      <c r="W24" s="229"/>
      <c r="X24" s="227">
        <f>SUM(R24:W24)</f>
        <v>8</v>
      </c>
      <c r="Z24" s="229">
        <v>0</v>
      </c>
      <c r="AA24" s="229"/>
      <c r="AB24" s="229"/>
      <c r="AC24" s="229"/>
      <c r="AD24" s="229"/>
      <c r="AE24" s="229"/>
      <c r="AF24" s="227">
        <f>SUM(Z24:AE24)</f>
        <v>0</v>
      </c>
      <c r="AH24" s="229">
        <f>45+35</f>
        <v>80</v>
      </c>
      <c r="AI24" s="229"/>
      <c r="AJ24" s="229"/>
      <c r="AK24" s="229"/>
      <c r="AL24" s="229"/>
      <c r="AM24" s="229"/>
      <c r="AN24" s="227">
        <f>SUM(AH24:AM24)</f>
        <v>80</v>
      </c>
      <c r="AP24" s="229">
        <v>75</v>
      </c>
      <c r="AQ24" s="229"/>
      <c r="AR24" s="229"/>
      <c r="AS24" s="229"/>
      <c r="AT24" s="229"/>
      <c r="AU24" s="229"/>
      <c r="AV24" s="227">
        <f>SUM(AP24:AU24)</f>
        <v>75</v>
      </c>
      <c r="AX24" s="229">
        <v>15</v>
      </c>
      <c r="AY24" s="229"/>
      <c r="AZ24" s="229"/>
      <c r="BA24" s="229"/>
      <c r="BB24" s="229"/>
      <c r="BC24" s="229"/>
      <c r="BD24" s="227">
        <f>SUM(AX24:BC24)</f>
        <v>15</v>
      </c>
      <c r="BF24" s="229"/>
      <c r="BG24" s="229"/>
      <c r="BH24" s="229"/>
      <c r="BI24" s="229"/>
      <c r="BJ24" s="229"/>
      <c r="BK24" s="229"/>
      <c r="BL24" s="227">
        <f>SUM(BF24:BK24)</f>
        <v>0</v>
      </c>
      <c r="BN24" s="229">
        <f t="shared" si="2"/>
        <v>313</v>
      </c>
      <c r="BO24" s="229">
        <f t="shared" si="1"/>
        <v>0</v>
      </c>
      <c r="BP24" s="229">
        <f t="shared" si="1"/>
        <v>0</v>
      </c>
      <c r="BQ24" s="229">
        <f t="shared" si="1"/>
        <v>0</v>
      </c>
      <c r="BR24" s="229">
        <f t="shared" si="1"/>
        <v>0</v>
      </c>
      <c r="BS24" s="229">
        <f t="shared" si="1"/>
        <v>0</v>
      </c>
      <c r="BT24" s="227">
        <f>SUM(BN24:BS24)</f>
        <v>313</v>
      </c>
    </row>
    <row r="25" spans="1:72" x14ac:dyDescent="0.25">
      <c r="A25" s="185" t="s">
        <v>178</v>
      </c>
      <c r="B25" s="230"/>
      <c r="C25" s="230"/>
      <c r="D25" s="231">
        <v>0.2828</v>
      </c>
      <c r="E25" s="231"/>
      <c r="F25" s="231"/>
      <c r="G25" s="231"/>
      <c r="H25" s="230">
        <v>0.06</v>
      </c>
      <c r="J25" s="230"/>
      <c r="K25" s="230"/>
      <c r="L25" s="231">
        <v>0.2828</v>
      </c>
      <c r="M25" s="231"/>
      <c r="N25" s="231"/>
      <c r="O25" s="231"/>
      <c r="P25" s="230">
        <f>L25</f>
        <v>0.2828</v>
      </c>
      <c r="R25" s="230"/>
      <c r="S25" s="230"/>
      <c r="T25" s="231">
        <v>0.2828</v>
      </c>
      <c r="U25" s="231"/>
      <c r="V25" s="231"/>
      <c r="W25" s="231"/>
      <c r="X25" s="230">
        <f>T25</f>
        <v>0.2828</v>
      </c>
      <c r="Z25" s="230"/>
      <c r="AA25" s="230"/>
      <c r="AB25" s="231">
        <v>0.2455</v>
      </c>
      <c r="AC25" s="231"/>
      <c r="AD25" s="231"/>
      <c r="AE25" s="231"/>
      <c r="AF25" s="230">
        <f>AB25</f>
        <v>0.2455</v>
      </c>
      <c r="AH25" s="230"/>
      <c r="AI25" s="230"/>
      <c r="AJ25" s="231">
        <v>0.1958</v>
      </c>
      <c r="AK25" s="231"/>
      <c r="AL25" s="231"/>
      <c r="AM25" s="231"/>
      <c r="AN25" s="230">
        <f>AJ25</f>
        <v>0.1958</v>
      </c>
      <c r="AP25" s="230"/>
      <c r="AQ25" s="230"/>
      <c r="AR25" s="231">
        <v>1</v>
      </c>
      <c r="AS25" s="231"/>
      <c r="AT25" s="231"/>
      <c r="AU25" s="231"/>
      <c r="AV25" s="230">
        <f>AR25</f>
        <v>1</v>
      </c>
      <c r="AX25" s="230"/>
      <c r="AY25" s="230"/>
      <c r="AZ25" s="231">
        <v>0.37409999999999999</v>
      </c>
      <c r="BA25" s="231"/>
      <c r="BB25" s="231"/>
      <c r="BC25" s="231"/>
      <c r="BD25" s="230">
        <f>AZ25</f>
        <v>0.37409999999999999</v>
      </c>
      <c r="BF25" s="230"/>
      <c r="BG25" s="230"/>
      <c r="BH25" s="231"/>
      <c r="BI25" s="231"/>
      <c r="BJ25" s="231"/>
      <c r="BK25" s="231"/>
      <c r="BL25" s="230"/>
      <c r="BN25" s="229">
        <f t="shared" si="2"/>
        <v>0</v>
      </c>
      <c r="BO25" s="229">
        <f t="shared" si="1"/>
        <v>0</v>
      </c>
      <c r="BP25" s="229"/>
      <c r="BQ25" s="229">
        <f t="shared" si="1"/>
        <v>0</v>
      </c>
      <c r="BR25" s="229">
        <f t="shared" si="1"/>
        <v>0</v>
      </c>
      <c r="BS25" s="229">
        <f t="shared" si="1"/>
        <v>0</v>
      </c>
      <c r="BT25" s="230"/>
    </row>
    <row r="26" spans="1:72" x14ac:dyDescent="0.25">
      <c r="A26" s="189" t="s">
        <v>179</v>
      </c>
      <c r="B26" s="228" t="s">
        <v>309</v>
      </c>
      <c r="C26" s="228" t="s">
        <v>310</v>
      </c>
      <c r="D26" s="228" t="s">
        <v>311</v>
      </c>
      <c r="E26" s="228" t="str">
        <f>E20</f>
        <v>Other</v>
      </c>
      <c r="F26" s="228" t="s">
        <v>313</v>
      </c>
      <c r="G26" s="228" t="s">
        <v>314</v>
      </c>
      <c r="H26" s="228" t="s">
        <v>59</v>
      </c>
      <c r="J26" s="228" t="s">
        <v>309</v>
      </c>
      <c r="K26" s="228" t="s">
        <v>310</v>
      </c>
      <c r="L26" s="228" t="s">
        <v>311</v>
      </c>
      <c r="M26" s="228" t="str">
        <f>M20</f>
        <v>Other</v>
      </c>
      <c r="N26" s="228" t="s">
        <v>313</v>
      </c>
      <c r="O26" s="228" t="s">
        <v>314</v>
      </c>
      <c r="P26" s="228" t="str">
        <f>P20</f>
        <v>Cadence</v>
      </c>
      <c r="R26" s="228" t="s">
        <v>309</v>
      </c>
      <c r="S26" s="228" t="s">
        <v>310</v>
      </c>
      <c r="T26" s="228" t="s">
        <v>311</v>
      </c>
      <c r="U26" s="228" t="str">
        <f>U20</f>
        <v>Other</v>
      </c>
      <c r="V26" s="228" t="s">
        <v>313</v>
      </c>
      <c r="W26" s="228" t="s">
        <v>314</v>
      </c>
      <c r="X26" s="228" t="str">
        <f>X20</f>
        <v>St. Rose</v>
      </c>
      <c r="Z26" s="228" t="s">
        <v>309</v>
      </c>
      <c r="AA26" s="228" t="s">
        <v>310</v>
      </c>
      <c r="AB26" s="228" t="s">
        <v>311</v>
      </c>
      <c r="AC26" s="228" t="str">
        <f>AC20</f>
        <v>Other</v>
      </c>
      <c r="AD26" s="228" t="s">
        <v>313</v>
      </c>
      <c r="AE26" s="228" t="s">
        <v>314</v>
      </c>
      <c r="AF26" s="228" t="str">
        <f>AF20</f>
        <v>Inspirada</v>
      </c>
      <c r="AH26" s="228" t="s">
        <v>309</v>
      </c>
      <c r="AI26" s="228" t="s">
        <v>310</v>
      </c>
      <c r="AJ26" s="228" t="s">
        <v>311</v>
      </c>
      <c r="AK26" s="228" t="str">
        <f>AK20</f>
        <v>Other</v>
      </c>
      <c r="AL26" s="228" t="s">
        <v>313</v>
      </c>
      <c r="AM26" s="228" t="s">
        <v>314</v>
      </c>
      <c r="AN26" s="228" t="str">
        <f>AN20</f>
        <v>Sloan</v>
      </c>
      <c r="AP26" s="228" t="s">
        <v>309</v>
      </c>
      <c r="AQ26" s="228" t="s">
        <v>310</v>
      </c>
      <c r="AR26" s="228" t="s">
        <v>311</v>
      </c>
      <c r="AS26" s="228" t="str">
        <f>AS20</f>
        <v>Other</v>
      </c>
      <c r="AT26" s="228" t="s">
        <v>313</v>
      </c>
      <c r="AU26" s="228" t="s">
        <v>314</v>
      </c>
      <c r="AV26" s="228" t="str">
        <f>AV20</f>
        <v>Springs</v>
      </c>
      <c r="AX26" s="228" t="s">
        <v>309</v>
      </c>
      <c r="AY26" s="228" t="s">
        <v>310</v>
      </c>
      <c r="AZ26" s="228" t="s">
        <v>311</v>
      </c>
      <c r="BA26" s="228" t="str">
        <f>BA20</f>
        <v>Other</v>
      </c>
      <c r="BB26" s="228" t="s">
        <v>313</v>
      </c>
      <c r="BC26" s="228" t="s">
        <v>314</v>
      </c>
      <c r="BD26" s="228" t="str">
        <f>BD20</f>
        <v>Virtual</v>
      </c>
      <c r="BF26" s="228" t="s">
        <v>309</v>
      </c>
      <c r="BG26" s="228" t="s">
        <v>310</v>
      </c>
      <c r="BH26" s="228" t="s">
        <v>311</v>
      </c>
      <c r="BI26" s="228" t="str">
        <f>BI20</f>
        <v>Other</v>
      </c>
      <c r="BJ26" s="228" t="s">
        <v>313</v>
      </c>
      <c r="BK26" s="228" t="s">
        <v>314</v>
      </c>
      <c r="BL26" s="228" t="str">
        <f>BL20</f>
        <v>Central</v>
      </c>
      <c r="BN26" s="228" t="s">
        <v>309</v>
      </c>
      <c r="BO26" s="228" t="s">
        <v>310</v>
      </c>
      <c r="BP26" s="228" t="s">
        <v>311</v>
      </c>
      <c r="BQ26" s="228" t="str">
        <f>BQ20</f>
        <v>Other</v>
      </c>
      <c r="BR26" s="228" t="s">
        <v>313</v>
      </c>
      <c r="BS26" s="228" t="s">
        <v>314</v>
      </c>
      <c r="BT26" s="228" t="str">
        <f>BT20</f>
        <v>System</v>
      </c>
    </row>
    <row r="27" spans="1:72" x14ac:dyDescent="0.25">
      <c r="A27" s="190" t="s">
        <v>180</v>
      </c>
      <c r="B27" s="232">
        <v>36</v>
      </c>
      <c r="C27" s="232"/>
      <c r="D27" s="232"/>
      <c r="E27" s="232"/>
      <c r="F27" s="232"/>
      <c r="G27" s="232"/>
      <c r="H27" s="232">
        <f t="shared" ref="H27:H35" si="3">SUM(B27:G27)</f>
        <v>36</v>
      </c>
      <c r="J27" s="232">
        <v>85</v>
      </c>
      <c r="K27" s="232"/>
      <c r="L27" s="232"/>
      <c r="M27" s="232"/>
      <c r="N27" s="232"/>
      <c r="O27" s="232"/>
      <c r="P27" s="232">
        <f t="shared" ref="P27:P35" si="4">SUM(J27:O27)</f>
        <v>85</v>
      </c>
      <c r="R27" s="232">
        <v>36</v>
      </c>
      <c r="S27" s="232"/>
      <c r="T27" s="232"/>
      <c r="U27" s="232"/>
      <c r="V27" s="232"/>
      <c r="W27" s="232"/>
      <c r="X27" s="232">
        <f t="shared" ref="X27:X35" si="5">SUM(R27:W27)</f>
        <v>36</v>
      </c>
      <c r="Z27" s="232">
        <v>46</v>
      </c>
      <c r="AA27" s="232"/>
      <c r="AB27" s="232"/>
      <c r="AC27" s="232"/>
      <c r="AD27" s="232"/>
      <c r="AE27" s="232"/>
      <c r="AF27" s="232">
        <f t="shared" ref="AF27:AF35" si="6">SUM(Z27:AE27)</f>
        <v>46</v>
      </c>
      <c r="AH27" s="232">
        <v>85</v>
      </c>
      <c r="AI27" s="232"/>
      <c r="AJ27" s="232"/>
      <c r="AK27" s="232"/>
      <c r="AL27" s="232"/>
      <c r="AM27" s="232"/>
      <c r="AN27" s="232">
        <f t="shared" ref="AN27:AN35" si="7">SUM(AH27:AM27)</f>
        <v>85</v>
      </c>
      <c r="AP27" s="232">
        <v>33</v>
      </c>
      <c r="AQ27" s="232"/>
      <c r="AR27" s="232"/>
      <c r="AS27" s="232"/>
      <c r="AT27" s="232"/>
      <c r="AU27" s="232"/>
      <c r="AV27" s="232">
        <f t="shared" ref="AV27:AV35" si="8">SUM(AP27:AU27)</f>
        <v>33</v>
      </c>
      <c r="AX27" s="232">
        <v>0</v>
      </c>
      <c r="AY27" s="232"/>
      <c r="AZ27" s="232"/>
      <c r="BA27" s="232"/>
      <c r="BB27" s="232"/>
      <c r="BC27" s="232"/>
      <c r="BD27" s="232">
        <f t="shared" ref="BD27:BD35" si="9">SUM(AX27:BC27)</f>
        <v>0</v>
      </c>
      <c r="BF27" s="232"/>
      <c r="BG27" s="232"/>
      <c r="BH27" s="232"/>
      <c r="BI27" s="232"/>
      <c r="BJ27" s="232"/>
      <c r="BK27" s="232"/>
      <c r="BL27" s="232">
        <f t="shared" ref="BL27:BL35" si="10">SUM(BF27:BK27)</f>
        <v>0</v>
      </c>
      <c r="BN27" s="229">
        <f>B27+J27+R27+Z27+AH27+AP27+AX27+BF27</f>
        <v>321</v>
      </c>
      <c r="BO27" s="229">
        <f t="shared" ref="BO27:BS35" si="11">C27+K27+S27+AA27+AI27+AQ27+AY27+BG27</f>
        <v>0</v>
      </c>
      <c r="BP27" s="229">
        <f t="shared" si="11"/>
        <v>0</v>
      </c>
      <c r="BQ27" s="229">
        <f t="shared" si="11"/>
        <v>0</v>
      </c>
      <c r="BR27" s="229">
        <f t="shared" si="11"/>
        <v>0</v>
      </c>
      <c r="BS27" s="229">
        <f t="shared" si="11"/>
        <v>0</v>
      </c>
      <c r="BT27" s="232">
        <f t="shared" ref="BT27:BT35" si="12">SUM(BN27:BS27)</f>
        <v>321</v>
      </c>
    </row>
    <row r="28" spans="1:72" x14ac:dyDescent="0.25">
      <c r="A28" s="190" t="s">
        <v>181</v>
      </c>
      <c r="B28" s="233">
        <v>0</v>
      </c>
      <c r="C28" s="233">
        <v>5</v>
      </c>
      <c r="D28" s="233"/>
      <c r="E28" s="233"/>
      <c r="F28" s="233"/>
      <c r="G28" s="233"/>
      <c r="H28" s="232">
        <f t="shared" si="3"/>
        <v>5</v>
      </c>
      <c r="J28" s="233"/>
      <c r="K28" s="233">
        <v>13</v>
      </c>
      <c r="L28" s="233"/>
      <c r="M28" s="233"/>
      <c r="N28" s="233"/>
      <c r="O28" s="233"/>
      <c r="P28" s="232">
        <f t="shared" si="4"/>
        <v>13</v>
      </c>
      <c r="R28" s="233">
        <v>0</v>
      </c>
      <c r="S28" s="233">
        <v>4</v>
      </c>
      <c r="T28" s="233"/>
      <c r="U28" s="233"/>
      <c r="V28" s="233"/>
      <c r="W28" s="233"/>
      <c r="X28" s="232">
        <f t="shared" si="5"/>
        <v>4</v>
      </c>
      <c r="Z28" s="233">
        <v>0</v>
      </c>
      <c r="AA28" s="233">
        <v>5</v>
      </c>
      <c r="AB28" s="233"/>
      <c r="AC28" s="233"/>
      <c r="AD28" s="233"/>
      <c r="AE28" s="233"/>
      <c r="AF28" s="232">
        <f t="shared" si="6"/>
        <v>5</v>
      </c>
      <c r="AH28" s="233">
        <v>0</v>
      </c>
      <c r="AI28" s="233">
        <v>13</v>
      </c>
      <c r="AJ28" s="233"/>
      <c r="AK28" s="233"/>
      <c r="AL28" s="233"/>
      <c r="AM28" s="233"/>
      <c r="AN28" s="232">
        <f t="shared" si="7"/>
        <v>13</v>
      </c>
      <c r="AP28" s="233">
        <v>0</v>
      </c>
      <c r="AQ28" s="233">
        <v>4</v>
      </c>
      <c r="AR28" s="233"/>
      <c r="AS28" s="233"/>
      <c r="AT28" s="233"/>
      <c r="AU28" s="233"/>
      <c r="AV28" s="232">
        <f t="shared" si="8"/>
        <v>4</v>
      </c>
      <c r="AX28" s="233">
        <v>0</v>
      </c>
      <c r="AY28" s="233">
        <v>1</v>
      </c>
      <c r="AZ28" s="233"/>
      <c r="BA28" s="233"/>
      <c r="BB28" s="233"/>
      <c r="BC28" s="233"/>
      <c r="BD28" s="232">
        <f t="shared" si="9"/>
        <v>1</v>
      </c>
      <c r="BF28" s="233"/>
      <c r="BG28" s="233"/>
      <c r="BH28" s="233"/>
      <c r="BI28" s="233"/>
      <c r="BJ28" s="233"/>
      <c r="BK28" s="233"/>
      <c r="BL28" s="232">
        <f t="shared" si="10"/>
        <v>0</v>
      </c>
      <c r="BN28" s="229">
        <f t="shared" ref="BN28:BN35" si="13">B28+J28+R28+Z28+AH28+AP28+AX28+BF28</f>
        <v>0</v>
      </c>
      <c r="BO28" s="229">
        <f t="shared" si="11"/>
        <v>45</v>
      </c>
      <c r="BP28" s="229">
        <f t="shared" si="11"/>
        <v>0</v>
      </c>
      <c r="BQ28" s="229">
        <f t="shared" si="11"/>
        <v>0</v>
      </c>
      <c r="BR28" s="229">
        <f t="shared" si="11"/>
        <v>0</v>
      </c>
      <c r="BS28" s="229">
        <f t="shared" si="11"/>
        <v>0</v>
      </c>
      <c r="BT28" s="232">
        <f t="shared" si="12"/>
        <v>45</v>
      </c>
    </row>
    <row r="29" spans="1:72" x14ac:dyDescent="0.25">
      <c r="A29" s="190" t="s">
        <v>182</v>
      </c>
      <c r="B29" s="232">
        <v>1</v>
      </c>
      <c r="C29" s="232"/>
      <c r="D29" s="232"/>
      <c r="E29" s="232"/>
      <c r="F29" s="232"/>
      <c r="G29" s="232"/>
      <c r="H29" s="232">
        <f t="shared" si="3"/>
        <v>1</v>
      </c>
      <c r="J29" s="232">
        <v>2</v>
      </c>
      <c r="K29" s="232"/>
      <c r="L29" s="232"/>
      <c r="M29" s="232"/>
      <c r="N29" s="232"/>
      <c r="O29" s="232"/>
      <c r="P29" s="232">
        <f t="shared" si="4"/>
        <v>2</v>
      </c>
      <c r="R29" s="232">
        <v>1</v>
      </c>
      <c r="S29" s="232"/>
      <c r="T29" s="232"/>
      <c r="U29" s="232"/>
      <c r="V29" s="232"/>
      <c r="W29" s="232"/>
      <c r="X29" s="232">
        <f t="shared" si="5"/>
        <v>1</v>
      </c>
      <c r="Z29" s="232">
        <v>1</v>
      </c>
      <c r="AA29" s="232"/>
      <c r="AB29" s="232"/>
      <c r="AC29" s="232"/>
      <c r="AD29" s="232"/>
      <c r="AE29" s="232"/>
      <c r="AF29" s="232">
        <f t="shared" si="6"/>
        <v>1</v>
      </c>
      <c r="AH29" s="232">
        <v>2</v>
      </c>
      <c r="AI29" s="232"/>
      <c r="AJ29" s="232"/>
      <c r="AK29" s="232"/>
      <c r="AL29" s="232"/>
      <c r="AM29" s="232"/>
      <c r="AN29" s="232">
        <f t="shared" si="7"/>
        <v>2</v>
      </c>
      <c r="AP29" s="232">
        <v>1</v>
      </c>
      <c r="AQ29" s="232"/>
      <c r="AR29" s="232"/>
      <c r="AS29" s="232"/>
      <c r="AT29" s="232"/>
      <c r="AU29" s="232"/>
      <c r="AV29" s="232">
        <f t="shared" si="8"/>
        <v>1</v>
      </c>
      <c r="AX29" s="232">
        <v>0</v>
      </c>
      <c r="AY29" s="232"/>
      <c r="AZ29" s="232"/>
      <c r="BA29" s="232"/>
      <c r="BB29" s="232"/>
      <c r="BC29" s="232"/>
      <c r="BD29" s="232">
        <f t="shared" si="9"/>
        <v>0</v>
      </c>
      <c r="BF29" s="232"/>
      <c r="BG29" s="232"/>
      <c r="BH29" s="232"/>
      <c r="BI29" s="232"/>
      <c r="BJ29" s="232"/>
      <c r="BK29" s="232"/>
      <c r="BL29" s="232">
        <f t="shared" si="10"/>
        <v>0</v>
      </c>
      <c r="BN29" s="229">
        <f t="shared" si="13"/>
        <v>8</v>
      </c>
      <c r="BO29" s="229">
        <f t="shared" si="11"/>
        <v>0</v>
      </c>
      <c r="BP29" s="229">
        <f t="shared" si="11"/>
        <v>0</v>
      </c>
      <c r="BQ29" s="229">
        <f t="shared" si="11"/>
        <v>0</v>
      </c>
      <c r="BR29" s="229">
        <f t="shared" si="11"/>
        <v>0</v>
      </c>
      <c r="BS29" s="229">
        <f t="shared" si="11"/>
        <v>0</v>
      </c>
      <c r="BT29" s="232">
        <f t="shared" si="12"/>
        <v>8</v>
      </c>
    </row>
    <row r="30" spans="1:72" x14ac:dyDescent="0.25">
      <c r="A30" s="190" t="s">
        <v>183</v>
      </c>
      <c r="B30" s="232">
        <v>1</v>
      </c>
      <c r="C30" s="232"/>
      <c r="D30" s="232"/>
      <c r="E30" s="232"/>
      <c r="F30" s="232"/>
      <c r="G30" s="232"/>
      <c r="H30" s="232">
        <f t="shared" si="3"/>
        <v>1</v>
      </c>
      <c r="J30" s="232">
        <v>2</v>
      </c>
      <c r="K30" s="232"/>
      <c r="L30" s="232"/>
      <c r="M30" s="232"/>
      <c r="N30" s="232"/>
      <c r="O30" s="232"/>
      <c r="P30" s="232">
        <f t="shared" si="4"/>
        <v>2</v>
      </c>
      <c r="R30" s="232">
        <v>1</v>
      </c>
      <c r="S30" s="232"/>
      <c r="T30" s="232"/>
      <c r="U30" s="232"/>
      <c r="V30" s="232"/>
      <c r="W30" s="232"/>
      <c r="X30" s="232">
        <f t="shared" si="5"/>
        <v>1</v>
      </c>
      <c r="Z30" s="232">
        <v>1</v>
      </c>
      <c r="AA30" s="232"/>
      <c r="AB30" s="232"/>
      <c r="AC30" s="232"/>
      <c r="AD30" s="232"/>
      <c r="AE30" s="232"/>
      <c r="AF30" s="232">
        <f t="shared" si="6"/>
        <v>1</v>
      </c>
      <c r="AH30" s="232">
        <v>3</v>
      </c>
      <c r="AI30" s="232"/>
      <c r="AJ30" s="232"/>
      <c r="AK30" s="232"/>
      <c r="AL30" s="232"/>
      <c r="AM30" s="232"/>
      <c r="AN30" s="232">
        <f t="shared" si="7"/>
        <v>3</v>
      </c>
      <c r="AP30" s="232">
        <v>1</v>
      </c>
      <c r="AQ30" s="232"/>
      <c r="AR30" s="232"/>
      <c r="AS30" s="232"/>
      <c r="AT30" s="232"/>
      <c r="AU30" s="232"/>
      <c r="AV30" s="232">
        <f t="shared" si="8"/>
        <v>1</v>
      </c>
      <c r="AX30" s="232">
        <v>0</v>
      </c>
      <c r="AY30" s="232"/>
      <c r="AZ30" s="232"/>
      <c r="BA30" s="232"/>
      <c r="BB30" s="232"/>
      <c r="BC30" s="232"/>
      <c r="BD30" s="232">
        <f t="shared" si="9"/>
        <v>0</v>
      </c>
      <c r="BF30" s="232">
        <v>1</v>
      </c>
      <c r="BG30" s="232"/>
      <c r="BH30" s="232"/>
      <c r="BI30" s="232"/>
      <c r="BJ30" s="232"/>
      <c r="BK30" s="232"/>
      <c r="BL30" s="232">
        <f t="shared" si="10"/>
        <v>1</v>
      </c>
      <c r="BN30" s="229">
        <f t="shared" si="13"/>
        <v>10</v>
      </c>
      <c r="BO30" s="229">
        <f t="shared" si="11"/>
        <v>0</v>
      </c>
      <c r="BP30" s="229">
        <f t="shared" si="11"/>
        <v>0</v>
      </c>
      <c r="BQ30" s="229">
        <f t="shared" si="11"/>
        <v>0</v>
      </c>
      <c r="BR30" s="229">
        <f t="shared" si="11"/>
        <v>0</v>
      </c>
      <c r="BS30" s="229">
        <f t="shared" si="11"/>
        <v>0</v>
      </c>
      <c r="BT30" s="232">
        <f t="shared" si="12"/>
        <v>10</v>
      </c>
    </row>
    <row r="31" spans="1:72" x14ac:dyDescent="0.25">
      <c r="A31" s="190" t="s">
        <v>184</v>
      </c>
      <c r="B31" s="232">
        <v>1</v>
      </c>
      <c r="C31" s="232"/>
      <c r="D31" s="232"/>
      <c r="E31" s="232"/>
      <c r="F31" s="232"/>
      <c r="G31" s="232"/>
      <c r="H31" s="232">
        <f t="shared" si="3"/>
        <v>1</v>
      </c>
      <c r="J31" s="232">
        <v>3</v>
      </c>
      <c r="K31" s="232"/>
      <c r="L31" s="232"/>
      <c r="M31" s="232"/>
      <c r="N31" s="232"/>
      <c r="O31" s="232"/>
      <c r="P31" s="232">
        <f t="shared" si="4"/>
        <v>3</v>
      </c>
      <c r="R31" s="232">
        <v>1</v>
      </c>
      <c r="S31" s="232"/>
      <c r="T31" s="232"/>
      <c r="U31" s="232"/>
      <c r="V31" s="232"/>
      <c r="W31" s="232"/>
      <c r="X31" s="232">
        <f t="shared" si="5"/>
        <v>1</v>
      </c>
      <c r="Z31" s="232">
        <v>1</v>
      </c>
      <c r="AA31" s="232"/>
      <c r="AB31" s="232"/>
      <c r="AC31" s="232"/>
      <c r="AD31" s="232"/>
      <c r="AE31" s="232"/>
      <c r="AF31" s="232">
        <f t="shared" si="6"/>
        <v>1</v>
      </c>
      <c r="AH31" s="232">
        <v>3</v>
      </c>
      <c r="AI31" s="232"/>
      <c r="AJ31" s="232"/>
      <c r="AK31" s="232"/>
      <c r="AL31" s="232"/>
      <c r="AM31" s="232"/>
      <c r="AN31" s="232">
        <f t="shared" si="7"/>
        <v>3</v>
      </c>
      <c r="AP31" s="232">
        <v>1</v>
      </c>
      <c r="AQ31" s="232"/>
      <c r="AR31" s="232"/>
      <c r="AS31" s="232"/>
      <c r="AT31" s="232"/>
      <c r="AU31" s="232"/>
      <c r="AV31" s="232">
        <f t="shared" si="8"/>
        <v>1</v>
      </c>
      <c r="AX31" s="232">
        <v>0</v>
      </c>
      <c r="AY31" s="232"/>
      <c r="AZ31" s="232"/>
      <c r="BA31" s="232"/>
      <c r="BB31" s="232"/>
      <c r="BC31" s="232"/>
      <c r="BD31" s="232">
        <f t="shared" si="9"/>
        <v>0</v>
      </c>
      <c r="BF31" s="232"/>
      <c r="BG31" s="232"/>
      <c r="BH31" s="232"/>
      <c r="BI31" s="232"/>
      <c r="BJ31" s="232"/>
      <c r="BK31" s="232"/>
      <c r="BL31" s="232">
        <f t="shared" si="10"/>
        <v>0</v>
      </c>
      <c r="BN31" s="229">
        <f t="shared" si="13"/>
        <v>10</v>
      </c>
      <c r="BO31" s="229">
        <f t="shared" si="11"/>
        <v>0</v>
      </c>
      <c r="BP31" s="229">
        <f t="shared" si="11"/>
        <v>0</v>
      </c>
      <c r="BQ31" s="229">
        <f t="shared" si="11"/>
        <v>0</v>
      </c>
      <c r="BR31" s="229">
        <f t="shared" si="11"/>
        <v>0</v>
      </c>
      <c r="BS31" s="229">
        <f t="shared" si="11"/>
        <v>0</v>
      </c>
      <c r="BT31" s="232">
        <f t="shared" si="12"/>
        <v>10</v>
      </c>
    </row>
    <row r="32" spans="1:72" x14ac:dyDescent="0.25">
      <c r="A32" s="191" t="s">
        <v>185</v>
      </c>
      <c r="B32" s="232">
        <v>1</v>
      </c>
      <c r="C32" s="232"/>
      <c r="D32" s="232"/>
      <c r="E32" s="232"/>
      <c r="F32" s="232"/>
      <c r="G32" s="232"/>
      <c r="H32" s="232">
        <f t="shared" si="3"/>
        <v>1</v>
      </c>
      <c r="J32" s="232">
        <v>3</v>
      </c>
      <c r="K32" s="232"/>
      <c r="L32" s="232"/>
      <c r="M32" s="232"/>
      <c r="N32" s="232"/>
      <c r="O32" s="232"/>
      <c r="P32" s="232">
        <f t="shared" si="4"/>
        <v>3</v>
      </c>
      <c r="R32" s="232">
        <v>1</v>
      </c>
      <c r="S32" s="232"/>
      <c r="T32" s="232"/>
      <c r="U32" s="232"/>
      <c r="V32" s="232"/>
      <c r="W32" s="232"/>
      <c r="X32" s="232">
        <f t="shared" si="5"/>
        <v>1</v>
      </c>
      <c r="Z32" s="232">
        <v>1</v>
      </c>
      <c r="AA32" s="232"/>
      <c r="AB32" s="232"/>
      <c r="AC32" s="232"/>
      <c r="AD32" s="232"/>
      <c r="AE32" s="232"/>
      <c r="AF32" s="232">
        <f t="shared" si="6"/>
        <v>1</v>
      </c>
      <c r="AH32" s="232">
        <v>2</v>
      </c>
      <c r="AI32" s="232"/>
      <c r="AJ32" s="232"/>
      <c r="AK32" s="232"/>
      <c r="AL32" s="232"/>
      <c r="AM32" s="232"/>
      <c r="AN32" s="232">
        <f t="shared" si="7"/>
        <v>2</v>
      </c>
      <c r="AP32" s="232">
        <v>1</v>
      </c>
      <c r="AQ32" s="232"/>
      <c r="AR32" s="232"/>
      <c r="AS32" s="232"/>
      <c r="AT32" s="232"/>
      <c r="AU32" s="232"/>
      <c r="AV32" s="232">
        <f t="shared" si="8"/>
        <v>1</v>
      </c>
      <c r="AX32" s="232">
        <v>0</v>
      </c>
      <c r="AY32" s="232"/>
      <c r="AZ32" s="232"/>
      <c r="BA32" s="232"/>
      <c r="BB32" s="232"/>
      <c r="BC32" s="232"/>
      <c r="BD32" s="232">
        <f t="shared" si="9"/>
        <v>0</v>
      </c>
      <c r="BF32" s="232"/>
      <c r="BG32" s="232"/>
      <c r="BH32" s="232"/>
      <c r="BI32" s="232"/>
      <c r="BJ32" s="232"/>
      <c r="BK32" s="232"/>
      <c r="BL32" s="232">
        <f t="shared" si="10"/>
        <v>0</v>
      </c>
      <c r="BN32" s="229">
        <f t="shared" si="13"/>
        <v>9</v>
      </c>
      <c r="BO32" s="229">
        <f t="shared" si="11"/>
        <v>0</v>
      </c>
      <c r="BP32" s="229">
        <f t="shared" si="11"/>
        <v>0</v>
      </c>
      <c r="BQ32" s="229">
        <f t="shared" si="11"/>
        <v>0</v>
      </c>
      <c r="BR32" s="229">
        <f t="shared" si="11"/>
        <v>0</v>
      </c>
      <c r="BS32" s="229">
        <f t="shared" si="11"/>
        <v>0</v>
      </c>
      <c r="BT32" s="232">
        <f t="shared" si="12"/>
        <v>9</v>
      </c>
    </row>
    <row r="33" spans="1:72" x14ac:dyDescent="0.25">
      <c r="A33" s="191" t="s">
        <v>186</v>
      </c>
      <c r="B33" s="232">
        <v>1</v>
      </c>
      <c r="C33" s="232"/>
      <c r="D33" s="232"/>
      <c r="E33" s="232"/>
      <c r="F33" s="232"/>
      <c r="G33" s="232"/>
      <c r="H33" s="232">
        <f t="shared" si="3"/>
        <v>1</v>
      </c>
      <c r="J33" s="232">
        <v>2</v>
      </c>
      <c r="K33" s="232"/>
      <c r="L33" s="232"/>
      <c r="M33" s="232"/>
      <c r="N33" s="232"/>
      <c r="O33" s="232"/>
      <c r="P33" s="232">
        <f t="shared" si="4"/>
        <v>2</v>
      </c>
      <c r="R33" s="232">
        <v>1</v>
      </c>
      <c r="S33" s="232"/>
      <c r="T33" s="232"/>
      <c r="U33" s="232"/>
      <c r="V33" s="232"/>
      <c r="W33" s="232"/>
      <c r="X33" s="232">
        <f t="shared" si="5"/>
        <v>1</v>
      </c>
      <c r="Z33" s="232">
        <v>1</v>
      </c>
      <c r="AA33" s="232"/>
      <c r="AB33" s="232"/>
      <c r="AC33" s="232"/>
      <c r="AD33" s="232"/>
      <c r="AE33" s="232"/>
      <c r="AF33" s="232">
        <f t="shared" si="6"/>
        <v>1</v>
      </c>
      <c r="AH33" s="232">
        <v>2</v>
      </c>
      <c r="AI33" s="232"/>
      <c r="AJ33" s="232"/>
      <c r="AK33" s="232"/>
      <c r="AL33" s="232"/>
      <c r="AM33" s="232"/>
      <c r="AN33" s="232">
        <f t="shared" si="7"/>
        <v>2</v>
      </c>
      <c r="AP33" s="232">
        <v>0</v>
      </c>
      <c r="AQ33" s="232"/>
      <c r="AR33" s="232"/>
      <c r="AS33" s="232"/>
      <c r="AT33" s="232"/>
      <c r="AU33" s="232"/>
      <c r="AV33" s="232">
        <f t="shared" si="8"/>
        <v>0</v>
      </c>
      <c r="AX33" s="232">
        <v>0</v>
      </c>
      <c r="AY33" s="232"/>
      <c r="AZ33" s="232"/>
      <c r="BA33" s="232"/>
      <c r="BB33" s="232"/>
      <c r="BC33" s="232"/>
      <c r="BD33" s="232">
        <f t="shared" si="9"/>
        <v>0</v>
      </c>
      <c r="BF33" s="232"/>
      <c r="BG33" s="232"/>
      <c r="BH33" s="232"/>
      <c r="BI33" s="232"/>
      <c r="BJ33" s="232"/>
      <c r="BK33" s="232"/>
      <c r="BL33" s="232">
        <f t="shared" si="10"/>
        <v>0</v>
      </c>
      <c r="BN33" s="229">
        <f t="shared" si="13"/>
        <v>7</v>
      </c>
      <c r="BO33" s="229">
        <f t="shared" si="11"/>
        <v>0</v>
      </c>
      <c r="BP33" s="229">
        <f t="shared" si="11"/>
        <v>0</v>
      </c>
      <c r="BQ33" s="229">
        <f t="shared" si="11"/>
        <v>0</v>
      </c>
      <c r="BR33" s="229">
        <f t="shared" si="11"/>
        <v>0</v>
      </c>
      <c r="BS33" s="229">
        <f t="shared" si="11"/>
        <v>0</v>
      </c>
      <c r="BT33" s="232">
        <f t="shared" si="12"/>
        <v>7</v>
      </c>
    </row>
    <row r="34" spans="1:72" x14ac:dyDescent="0.25">
      <c r="A34" s="191" t="s">
        <v>187</v>
      </c>
      <c r="B34" s="232">
        <v>1</v>
      </c>
      <c r="C34" s="232"/>
      <c r="D34" s="232"/>
      <c r="E34" s="232"/>
      <c r="F34" s="232"/>
      <c r="G34" s="232"/>
      <c r="H34" s="232">
        <f t="shared" si="3"/>
        <v>1</v>
      </c>
      <c r="J34" s="232">
        <v>3</v>
      </c>
      <c r="K34" s="232"/>
      <c r="L34" s="232"/>
      <c r="M34" s="232"/>
      <c r="N34" s="232"/>
      <c r="O34" s="232"/>
      <c r="P34" s="232">
        <f t="shared" si="4"/>
        <v>3</v>
      </c>
      <c r="R34" s="232">
        <v>2</v>
      </c>
      <c r="S34" s="232"/>
      <c r="T34" s="232"/>
      <c r="U34" s="232"/>
      <c r="V34" s="232"/>
      <c r="W34" s="232"/>
      <c r="X34" s="232">
        <f t="shared" si="5"/>
        <v>2</v>
      </c>
      <c r="Z34" s="232">
        <v>3</v>
      </c>
      <c r="AA34" s="232"/>
      <c r="AB34" s="232"/>
      <c r="AC34" s="232"/>
      <c r="AD34" s="232"/>
      <c r="AE34" s="232"/>
      <c r="AF34" s="232">
        <f t="shared" si="6"/>
        <v>3</v>
      </c>
      <c r="AH34" s="233">
        <v>3</v>
      </c>
      <c r="AI34" s="232"/>
      <c r="AJ34" s="232"/>
      <c r="AK34" s="232"/>
      <c r="AL34" s="232"/>
      <c r="AM34" s="232"/>
      <c r="AN34" s="232">
        <f t="shared" si="7"/>
        <v>3</v>
      </c>
      <c r="AP34" s="232">
        <v>1</v>
      </c>
      <c r="AQ34" s="232"/>
      <c r="AR34" s="232"/>
      <c r="AS34" s="232"/>
      <c r="AT34" s="232"/>
      <c r="AU34" s="232"/>
      <c r="AV34" s="232">
        <f t="shared" si="8"/>
        <v>1</v>
      </c>
      <c r="AX34" s="232">
        <v>0</v>
      </c>
      <c r="AY34" s="232"/>
      <c r="AZ34" s="232"/>
      <c r="BA34" s="232"/>
      <c r="BB34" s="232"/>
      <c r="BC34" s="232"/>
      <c r="BD34" s="232">
        <f t="shared" si="9"/>
        <v>0</v>
      </c>
      <c r="BF34" s="232"/>
      <c r="BG34" s="232"/>
      <c r="BH34" s="232"/>
      <c r="BI34" s="232"/>
      <c r="BJ34" s="232"/>
      <c r="BK34" s="232"/>
      <c r="BL34" s="232">
        <f t="shared" si="10"/>
        <v>0</v>
      </c>
      <c r="BN34" s="229">
        <f t="shared" si="13"/>
        <v>13</v>
      </c>
      <c r="BO34" s="229">
        <f t="shared" si="11"/>
        <v>0</v>
      </c>
      <c r="BP34" s="229">
        <f t="shared" si="11"/>
        <v>0</v>
      </c>
      <c r="BQ34" s="229">
        <f t="shared" si="11"/>
        <v>0</v>
      </c>
      <c r="BR34" s="229">
        <f t="shared" si="11"/>
        <v>0</v>
      </c>
      <c r="BS34" s="229">
        <f t="shared" si="11"/>
        <v>0</v>
      </c>
      <c r="BT34" s="232">
        <f t="shared" si="12"/>
        <v>13</v>
      </c>
    </row>
    <row r="35" spans="1:72" x14ac:dyDescent="0.25">
      <c r="A35" s="192" t="s">
        <v>188</v>
      </c>
      <c r="B35" s="233">
        <v>0</v>
      </c>
      <c r="C35" s="232"/>
      <c r="D35" s="232"/>
      <c r="E35" s="232"/>
      <c r="F35" s="232"/>
      <c r="G35" s="232"/>
      <c r="H35" s="232">
        <f t="shared" si="3"/>
        <v>0</v>
      </c>
      <c r="J35" s="232">
        <v>1</v>
      </c>
      <c r="K35" s="232"/>
      <c r="L35" s="232"/>
      <c r="M35" s="232"/>
      <c r="N35" s="232"/>
      <c r="O35" s="232"/>
      <c r="P35" s="232">
        <f t="shared" si="4"/>
        <v>1</v>
      </c>
      <c r="R35" s="232">
        <v>1</v>
      </c>
      <c r="S35" s="232"/>
      <c r="T35" s="232"/>
      <c r="U35" s="232"/>
      <c r="V35" s="232"/>
      <c r="W35" s="232"/>
      <c r="X35" s="232">
        <f t="shared" si="5"/>
        <v>1</v>
      </c>
      <c r="Z35" s="232">
        <v>2</v>
      </c>
      <c r="AA35" s="232"/>
      <c r="AB35" s="232"/>
      <c r="AC35" s="232"/>
      <c r="AD35" s="232"/>
      <c r="AE35" s="232"/>
      <c r="AF35" s="232">
        <f t="shared" si="6"/>
        <v>2</v>
      </c>
      <c r="AH35" s="232">
        <v>1</v>
      </c>
      <c r="AI35" s="232"/>
      <c r="AJ35" s="232"/>
      <c r="AK35" s="232"/>
      <c r="AL35" s="232"/>
      <c r="AM35" s="232"/>
      <c r="AN35" s="232">
        <f t="shared" si="7"/>
        <v>1</v>
      </c>
      <c r="AP35" s="232">
        <v>0</v>
      </c>
      <c r="AQ35" s="232"/>
      <c r="AR35" s="232"/>
      <c r="AS35" s="232"/>
      <c r="AT35" s="232"/>
      <c r="AU35" s="232"/>
      <c r="AV35" s="232">
        <f t="shared" si="8"/>
        <v>0</v>
      </c>
      <c r="AX35" s="232">
        <v>0</v>
      </c>
      <c r="AY35" s="232"/>
      <c r="AZ35" s="232"/>
      <c r="BA35" s="232"/>
      <c r="BB35" s="232"/>
      <c r="BC35" s="232"/>
      <c r="BD35" s="232">
        <f t="shared" si="9"/>
        <v>0</v>
      </c>
      <c r="BF35" s="232"/>
      <c r="BG35" s="232"/>
      <c r="BH35" s="232"/>
      <c r="BI35" s="232"/>
      <c r="BJ35" s="232"/>
      <c r="BK35" s="232"/>
      <c r="BL35" s="232">
        <f t="shared" si="10"/>
        <v>0</v>
      </c>
      <c r="BN35" s="229">
        <f t="shared" si="13"/>
        <v>5</v>
      </c>
      <c r="BO35" s="229">
        <f t="shared" si="11"/>
        <v>0</v>
      </c>
      <c r="BP35" s="229">
        <f t="shared" si="11"/>
        <v>0</v>
      </c>
      <c r="BQ35" s="229">
        <f t="shared" si="11"/>
        <v>0</v>
      </c>
      <c r="BR35" s="229">
        <f t="shared" si="11"/>
        <v>0</v>
      </c>
      <c r="BS35" s="229">
        <f t="shared" si="11"/>
        <v>0</v>
      </c>
      <c r="BT35" s="232">
        <f t="shared" si="12"/>
        <v>5</v>
      </c>
    </row>
    <row r="36" spans="1:72" x14ac:dyDescent="0.25">
      <c r="A36" s="189" t="s">
        <v>189</v>
      </c>
      <c r="B36" s="234">
        <f>SUM(B27:B35)</f>
        <v>42</v>
      </c>
      <c r="C36" s="234">
        <f t="shared" ref="C36:G36" si="14">SUM(C27:C35)</f>
        <v>5</v>
      </c>
      <c r="D36" s="234">
        <f t="shared" si="14"/>
        <v>0</v>
      </c>
      <c r="E36" s="234">
        <f t="shared" si="14"/>
        <v>0</v>
      </c>
      <c r="F36" s="234">
        <f t="shared" si="14"/>
        <v>0</v>
      </c>
      <c r="G36" s="234">
        <f t="shared" si="14"/>
        <v>0</v>
      </c>
      <c r="H36" s="234">
        <f>SUM(H27:H35)</f>
        <v>47</v>
      </c>
      <c r="J36" s="234">
        <f>SUM(J27:J35)</f>
        <v>101</v>
      </c>
      <c r="K36" s="234">
        <f t="shared" ref="K36:O36" si="15">SUM(K27:K35)</f>
        <v>13</v>
      </c>
      <c r="L36" s="234">
        <f t="shared" si="15"/>
        <v>0</v>
      </c>
      <c r="M36" s="234">
        <f t="shared" si="15"/>
        <v>0</v>
      </c>
      <c r="N36" s="234">
        <f t="shared" si="15"/>
        <v>0</v>
      </c>
      <c r="O36" s="234">
        <f t="shared" si="15"/>
        <v>0</v>
      </c>
      <c r="P36" s="234">
        <f>SUM(P27:P35)</f>
        <v>114</v>
      </c>
      <c r="R36" s="234">
        <f>SUM(R27:R35)</f>
        <v>44</v>
      </c>
      <c r="S36" s="234">
        <f t="shared" ref="S36:W36" si="16">SUM(S27:S35)</f>
        <v>4</v>
      </c>
      <c r="T36" s="234">
        <f t="shared" si="16"/>
        <v>0</v>
      </c>
      <c r="U36" s="234">
        <f t="shared" si="16"/>
        <v>0</v>
      </c>
      <c r="V36" s="234">
        <f t="shared" si="16"/>
        <v>0</v>
      </c>
      <c r="W36" s="234">
        <f t="shared" si="16"/>
        <v>0</v>
      </c>
      <c r="X36" s="234">
        <f>SUM(X27:X35)</f>
        <v>48</v>
      </c>
      <c r="Z36" s="234">
        <f>SUM(Z27:Z35)</f>
        <v>56</v>
      </c>
      <c r="AA36" s="234">
        <f t="shared" ref="AA36:AE36" si="17">SUM(AA27:AA35)</f>
        <v>5</v>
      </c>
      <c r="AB36" s="234">
        <f t="shared" si="17"/>
        <v>0</v>
      </c>
      <c r="AC36" s="234">
        <f t="shared" si="17"/>
        <v>0</v>
      </c>
      <c r="AD36" s="234">
        <f t="shared" si="17"/>
        <v>0</v>
      </c>
      <c r="AE36" s="234">
        <f t="shared" si="17"/>
        <v>0</v>
      </c>
      <c r="AF36" s="234">
        <f>SUM(AF27:AF35)</f>
        <v>61</v>
      </c>
      <c r="AH36" s="234">
        <f>SUM(AH27:AH35)</f>
        <v>101</v>
      </c>
      <c r="AI36" s="234">
        <f t="shared" ref="AI36:AM36" si="18">SUM(AI27:AI35)</f>
        <v>13</v>
      </c>
      <c r="AJ36" s="234">
        <f t="shared" si="18"/>
        <v>0</v>
      </c>
      <c r="AK36" s="234">
        <f t="shared" si="18"/>
        <v>0</v>
      </c>
      <c r="AL36" s="234">
        <f t="shared" si="18"/>
        <v>0</v>
      </c>
      <c r="AM36" s="234">
        <f t="shared" si="18"/>
        <v>0</v>
      </c>
      <c r="AN36" s="234">
        <f>SUM(AN27:AN35)</f>
        <v>114</v>
      </c>
      <c r="AP36" s="234">
        <f>SUM(AP27:AP35)</f>
        <v>38</v>
      </c>
      <c r="AQ36" s="234">
        <f t="shared" ref="AQ36:AU36" si="19">SUM(AQ27:AQ35)</f>
        <v>4</v>
      </c>
      <c r="AR36" s="234">
        <f t="shared" si="19"/>
        <v>0</v>
      </c>
      <c r="AS36" s="234">
        <f t="shared" si="19"/>
        <v>0</v>
      </c>
      <c r="AT36" s="234">
        <f t="shared" si="19"/>
        <v>0</v>
      </c>
      <c r="AU36" s="234">
        <f t="shared" si="19"/>
        <v>0</v>
      </c>
      <c r="AV36" s="234">
        <f>SUM(AV27:AV35)</f>
        <v>42</v>
      </c>
      <c r="AX36" s="234">
        <f>SUM(AX27:AX35)</f>
        <v>0</v>
      </c>
      <c r="AY36" s="234">
        <f t="shared" ref="AY36:BC36" si="20">SUM(AY27:AY35)</f>
        <v>1</v>
      </c>
      <c r="AZ36" s="234">
        <f t="shared" si="20"/>
        <v>0</v>
      </c>
      <c r="BA36" s="234">
        <f t="shared" si="20"/>
        <v>0</v>
      </c>
      <c r="BB36" s="234">
        <f t="shared" si="20"/>
        <v>0</v>
      </c>
      <c r="BC36" s="234">
        <f t="shared" si="20"/>
        <v>0</v>
      </c>
      <c r="BD36" s="234">
        <f>SUM(BD27:BD35)</f>
        <v>1</v>
      </c>
      <c r="BF36" s="234">
        <f>SUM(BF27:BF35)</f>
        <v>1</v>
      </c>
      <c r="BG36" s="234">
        <f t="shared" ref="BG36:BK36" si="21">SUM(BG27:BG35)</f>
        <v>0</v>
      </c>
      <c r="BH36" s="234">
        <f t="shared" si="21"/>
        <v>0</v>
      </c>
      <c r="BI36" s="234">
        <f t="shared" si="21"/>
        <v>0</v>
      </c>
      <c r="BJ36" s="234">
        <f t="shared" si="21"/>
        <v>0</v>
      </c>
      <c r="BK36" s="234">
        <f t="shared" si="21"/>
        <v>0</v>
      </c>
      <c r="BL36" s="234">
        <f>SUM(BL27:BL35)</f>
        <v>1</v>
      </c>
      <c r="BN36" s="234">
        <f>SUM(BN27:BN35)</f>
        <v>383</v>
      </c>
      <c r="BO36" s="234">
        <f t="shared" ref="BO36:BS36" si="22">SUM(BO27:BO35)</f>
        <v>45</v>
      </c>
      <c r="BP36" s="234">
        <f t="shared" si="22"/>
        <v>0</v>
      </c>
      <c r="BQ36" s="234">
        <f t="shared" si="22"/>
        <v>0</v>
      </c>
      <c r="BR36" s="234">
        <f t="shared" si="22"/>
        <v>0</v>
      </c>
      <c r="BS36" s="234">
        <f t="shared" si="22"/>
        <v>0</v>
      </c>
      <c r="BT36" s="234">
        <f>SUM(BT27:BT35)</f>
        <v>428</v>
      </c>
    </row>
    <row r="37" spans="1:72" x14ac:dyDescent="0.25">
      <c r="A37" s="193"/>
      <c r="B37" s="227"/>
      <c r="C37" s="227"/>
      <c r="D37" s="227"/>
      <c r="E37" s="227"/>
      <c r="F37" s="227"/>
      <c r="G37" s="227"/>
      <c r="H37" s="227"/>
      <c r="J37" s="227"/>
      <c r="K37" s="227"/>
      <c r="L37" s="227"/>
      <c r="M37" s="227"/>
      <c r="N37" s="227"/>
      <c r="O37" s="227"/>
      <c r="P37" s="227"/>
      <c r="R37" s="227"/>
      <c r="S37" s="227"/>
      <c r="T37" s="227"/>
      <c r="U37" s="227"/>
      <c r="V37" s="227"/>
      <c r="W37" s="227"/>
      <c r="X37" s="227"/>
      <c r="Z37" s="227"/>
      <c r="AA37" s="227"/>
      <c r="AB37" s="227"/>
      <c r="AC37" s="227"/>
      <c r="AD37" s="227"/>
      <c r="AE37" s="227"/>
      <c r="AF37" s="227"/>
      <c r="AH37" s="227"/>
      <c r="AI37" s="227"/>
      <c r="AJ37" s="227"/>
      <c r="AK37" s="227"/>
      <c r="AL37" s="227"/>
      <c r="AM37" s="227"/>
      <c r="AN37" s="227"/>
      <c r="AP37" s="227"/>
      <c r="AQ37" s="227"/>
      <c r="AR37" s="227"/>
      <c r="AS37" s="227"/>
      <c r="AT37" s="227"/>
      <c r="AU37" s="227"/>
      <c r="AV37" s="227"/>
      <c r="AX37" s="227"/>
      <c r="AY37" s="227"/>
      <c r="AZ37" s="227"/>
      <c r="BA37" s="227"/>
      <c r="BB37" s="227"/>
      <c r="BC37" s="227"/>
      <c r="BD37" s="227"/>
      <c r="BF37" s="227"/>
      <c r="BG37" s="227"/>
      <c r="BH37" s="227"/>
      <c r="BI37" s="227"/>
      <c r="BJ37" s="227"/>
      <c r="BK37" s="227"/>
      <c r="BL37" s="227"/>
      <c r="BN37" s="227"/>
      <c r="BO37" s="227"/>
      <c r="BP37" s="227"/>
      <c r="BQ37" s="227"/>
      <c r="BR37" s="227"/>
      <c r="BS37" s="227"/>
      <c r="BT37" s="227"/>
    </row>
    <row r="38" spans="1:72" x14ac:dyDescent="0.25">
      <c r="A38" s="189" t="s">
        <v>190</v>
      </c>
      <c r="B38" s="228" t="s">
        <v>309</v>
      </c>
      <c r="C38" s="228" t="s">
        <v>310</v>
      </c>
      <c r="D38" s="228" t="s">
        <v>311</v>
      </c>
      <c r="E38" s="228" t="str">
        <f>E20</f>
        <v>Other</v>
      </c>
      <c r="F38" s="228" t="s">
        <v>313</v>
      </c>
      <c r="G38" s="228" t="s">
        <v>314</v>
      </c>
      <c r="H38" s="228" t="s">
        <v>59</v>
      </c>
      <c r="J38" s="228" t="s">
        <v>309</v>
      </c>
      <c r="K38" s="228" t="s">
        <v>310</v>
      </c>
      <c r="L38" s="228" t="s">
        <v>311</v>
      </c>
      <c r="M38" s="228" t="str">
        <f>M20</f>
        <v>Other</v>
      </c>
      <c r="N38" s="228" t="s">
        <v>313</v>
      </c>
      <c r="O38" s="228" t="s">
        <v>314</v>
      </c>
      <c r="P38" s="228" t="str">
        <f>P26</f>
        <v>Cadence</v>
      </c>
      <c r="R38" s="228" t="s">
        <v>309</v>
      </c>
      <c r="S38" s="228" t="s">
        <v>310</v>
      </c>
      <c r="T38" s="228" t="s">
        <v>311</v>
      </c>
      <c r="U38" s="228" t="str">
        <f>U20</f>
        <v>Other</v>
      </c>
      <c r="V38" s="228" t="s">
        <v>313</v>
      </c>
      <c r="W38" s="228" t="s">
        <v>314</v>
      </c>
      <c r="X38" s="228" t="str">
        <f>X20</f>
        <v>St. Rose</v>
      </c>
      <c r="Z38" s="228" t="s">
        <v>309</v>
      </c>
      <c r="AA38" s="228" t="s">
        <v>310</v>
      </c>
      <c r="AB38" s="228" t="s">
        <v>311</v>
      </c>
      <c r="AC38" s="228" t="str">
        <f>AC20</f>
        <v>Other</v>
      </c>
      <c r="AD38" s="228" t="s">
        <v>313</v>
      </c>
      <c r="AE38" s="228" t="s">
        <v>314</v>
      </c>
      <c r="AF38" s="228" t="str">
        <f>AF26</f>
        <v>Inspirada</v>
      </c>
      <c r="AH38" s="228" t="s">
        <v>309</v>
      </c>
      <c r="AI38" s="228" t="s">
        <v>310</v>
      </c>
      <c r="AJ38" s="228" t="s">
        <v>311</v>
      </c>
      <c r="AK38" s="228" t="str">
        <f>AK20</f>
        <v>Other</v>
      </c>
      <c r="AL38" s="228" t="s">
        <v>313</v>
      </c>
      <c r="AM38" s="228" t="s">
        <v>314</v>
      </c>
      <c r="AN38" s="228" t="str">
        <f>AN26</f>
        <v>Sloan</v>
      </c>
      <c r="AP38" s="228" t="s">
        <v>309</v>
      </c>
      <c r="AQ38" s="228" t="s">
        <v>310</v>
      </c>
      <c r="AR38" s="228" t="s">
        <v>311</v>
      </c>
      <c r="AS38" s="228" t="str">
        <f>AS20</f>
        <v>Other</v>
      </c>
      <c r="AT38" s="228" t="s">
        <v>313</v>
      </c>
      <c r="AU38" s="228" t="s">
        <v>314</v>
      </c>
      <c r="AV38" s="228" t="str">
        <f>AV26</f>
        <v>Springs</v>
      </c>
      <c r="AX38" s="228" t="s">
        <v>309</v>
      </c>
      <c r="AY38" s="228" t="s">
        <v>310</v>
      </c>
      <c r="AZ38" s="228" t="s">
        <v>311</v>
      </c>
      <c r="BA38" s="228" t="str">
        <f>BA20</f>
        <v>Other</v>
      </c>
      <c r="BB38" s="228" t="s">
        <v>313</v>
      </c>
      <c r="BC38" s="228" t="s">
        <v>314</v>
      </c>
      <c r="BD38" s="228" t="str">
        <f>BD26</f>
        <v>Virtual</v>
      </c>
      <c r="BF38" s="228" t="s">
        <v>309</v>
      </c>
      <c r="BG38" s="228" t="s">
        <v>310</v>
      </c>
      <c r="BH38" s="228" t="s">
        <v>311</v>
      </c>
      <c r="BI38" s="228" t="str">
        <f>BI20</f>
        <v>Other</v>
      </c>
      <c r="BJ38" s="228" t="s">
        <v>313</v>
      </c>
      <c r="BK38" s="228" t="s">
        <v>314</v>
      </c>
      <c r="BL38" s="228" t="str">
        <f>BL26</f>
        <v>Central</v>
      </c>
      <c r="BN38" s="228" t="s">
        <v>309</v>
      </c>
      <c r="BO38" s="228" t="s">
        <v>310</v>
      </c>
      <c r="BP38" s="228" t="s">
        <v>311</v>
      </c>
      <c r="BQ38" s="228" t="str">
        <f>BQ20</f>
        <v>Other</v>
      </c>
      <c r="BR38" s="228" t="s">
        <v>313</v>
      </c>
      <c r="BS38" s="228" t="s">
        <v>314</v>
      </c>
      <c r="BT38" s="228" t="str">
        <f>BT26</f>
        <v>System</v>
      </c>
    </row>
    <row r="39" spans="1:72" x14ac:dyDescent="0.25">
      <c r="A39" s="191" t="s">
        <v>53</v>
      </c>
      <c r="B39" s="232">
        <v>1</v>
      </c>
      <c r="C39" s="233"/>
      <c r="D39" s="233"/>
      <c r="E39" s="233"/>
      <c r="F39" s="233"/>
      <c r="G39" s="233"/>
      <c r="H39" s="232">
        <f t="shared" ref="H39:H60" si="23">SUM(B39:G39)</f>
        <v>1</v>
      </c>
      <c r="J39" s="232">
        <v>1</v>
      </c>
      <c r="K39" s="233"/>
      <c r="L39" s="233"/>
      <c r="M39" s="233"/>
      <c r="N39" s="233"/>
      <c r="O39" s="233"/>
      <c r="P39" s="232">
        <f t="shared" ref="P39:P60" si="24">SUM(J39:O39)</f>
        <v>1</v>
      </c>
      <c r="R39" s="232">
        <v>1</v>
      </c>
      <c r="S39" s="233"/>
      <c r="T39" s="233"/>
      <c r="U39" s="233"/>
      <c r="V39" s="233"/>
      <c r="W39" s="233"/>
      <c r="X39" s="232">
        <f t="shared" ref="X39:X60" si="25">SUM(R39:W39)</f>
        <v>1</v>
      </c>
      <c r="Z39" s="232">
        <v>1</v>
      </c>
      <c r="AA39" s="233"/>
      <c r="AB39" s="233"/>
      <c r="AC39" s="233"/>
      <c r="AD39" s="233"/>
      <c r="AE39" s="233"/>
      <c r="AF39" s="232">
        <f t="shared" ref="AF39:AF60" si="26">SUM(Z39:AE39)</f>
        <v>1</v>
      </c>
      <c r="AH39" s="232">
        <v>1</v>
      </c>
      <c r="AI39" s="233"/>
      <c r="AJ39" s="233"/>
      <c r="AK39" s="233"/>
      <c r="AL39" s="233"/>
      <c r="AM39" s="233"/>
      <c r="AN39" s="232">
        <f t="shared" ref="AN39:AN60" si="27">SUM(AH39:AM39)</f>
        <v>1</v>
      </c>
      <c r="AP39" s="232">
        <v>1</v>
      </c>
      <c r="AQ39" s="233"/>
      <c r="AR39" s="233"/>
      <c r="AS39" s="233"/>
      <c r="AT39" s="233"/>
      <c r="AU39" s="233"/>
      <c r="AV39" s="232">
        <f t="shared" ref="AV39:AV60" si="28">SUM(AP39:AU39)</f>
        <v>1</v>
      </c>
      <c r="AX39" s="232">
        <v>0</v>
      </c>
      <c r="AY39" s="233"/>
      <c r="AZ39" s="233"/>
      <c r="BA39" s="233"/>
      <c r="BB39" s="233"/>
      <c r="BC39" s="233"/>
      <c r="BD39" s="232">
        <f t="shared" ref="BD39:BD60" si="29">SUM(AX39:BC39)</f>
        <v>0</v>
      </c>
      <c r="BF39" s="232"/>
      <c r="BG39" s="233"/>
      <c r="BH39" s="233"/>
      <c r="BI39" s="233"/>
      <c r="BJ39" s="233"/>
      <c r="BK39" s="233"/>
      <c r="BL39" s="232">
        <f t="shared" ref="BL39:BL60" si="30">SUM(BF39:BK39)</f>
        <v>0</v>
      </c>
      <c r="BN39" s="229">
        <f>B39+J39+R39+Z39+AH39+AP39+AX39+BF39</f>
        <v>6</v>
      </c>
      <c r="BO39" s="229">
        <f t="shared" ref="BO39:BS54" si="31">C39+K39+S39+AA39+AI39+AQ39+AY39+BG39</f>
        <v>0</v>
      </c>
      <c r="BP39" s="229">
        <f t="shared" si="31"/>
        <v>0</v>
      </c>
      <c r="BQ39" s="229">
        <f t="shared" si="31"/>
        <v>0</v>
      </c>
      <c r="BR39" s="229">
        <f t="shared" si="31"/>
        <v>0</v>
      </c>
      <c r="BS39" s="229">
        <f t="shared" si="31"/>
        <v>0</v>
      </c>
      <c r="BT39" s="232">
        <f t="shared" ref="BT39:BT49" si="32">SUM(BN39:BS39)</f>
        <v>6</v>
      </c>
    </row>
    <row r="40" spans="1:72" x14ac:dyDescent="0.25">
      <c r="A40" s="191" t="s">
        <v>191</v>
      </c>
      <c r="B40" s="232">
        <v>2</v>
      </c>
      <c r="C40" s="233">
        <v>1</v>
      </c>
      <c r="D40" s="233"/>
      <c r="E40" s="233"/>
      <c r="F40" s="233"/>
      <c r="G40" s="233"/>
      <c r="H40" s="232">
        <f t="shared" si="23"/>
        <v>3</v>
      </c>
      <c r="J40" s="232">
        <v>6</v>
      </c>
      <c r="K40" s="233"/>
      <c r="L40" s="233"/>
      <c r="M40" s="233"/>
      <c r="N40" s="233"/>
      <c r="O40" s="233"/>
      <c r="P40" s="232">
        <f t="shared" si="24"/>
        <v>6</v>
      </c>
      <c r="R40" s="232">
        <v>3</v>
      </c>
      <c r="S40" s="233"/>
      <c r="T40" s="233"/>
      <c r="U40" s="233"/>
      <c r="V40" s="233"/>
      <c r="W40" s="233"/>
      <c r="X40" s="232">
        <f t="shared" si="25"/>
        <v>3</v>
      </c>
      <c r="Z40" s="232">
        <v>2</v>
      </c>
      <c r="AA40" s="233"/>
      <c r="AB40" s="233"/>
      <c r="AC40" s="233"/>
      <c r="AD40" s="233"/>
      <c r="AE40" s="233"/>
      <c r="AF40" s="232">
        <f t="shared" si="26"/>
        <v>2</v>
      </c>
      <c r="AH40" s="232">
        <v>4</v>
      </c>
      <c r="AI40" s="233"/>
      <c r="AJ40" s="233"/>
      <c r="AK40" s="233"/>
      <c r="AL40" s="233"/>
      <c r="AM40" s="233"/>
      <c r="AN40" s="232">
        <f t="shared" si="27"/>
        <v>4</v>
      </c>
      <c r="AP40" s="313">
        <v>2</v>
      </c>
      <c r="AQ40" s="233"/>
      <c r="AR40" s="233"/>
      <c r="AS40" s="233"/>
      <c r="AT40" s="233"/>
      <c r="AU40" s="233"/>
      <c r="AV40" s="232">
        <f t="shared" si="28"/>
        <v>2</v>
      </c>
      <c r="AX40" s="232">
        <v>0</v>
      </c>
      <c r="AY40" s="233"/>
      <c r="AZ40" s="233"/>
      <c r="BA40" s="233"/>
      <c r="BB40" s="233"/>
      <c r="BC40" s="233"/>
      <c r="BD40" s="232">
        <f t="shared" si="29"/>
        <v>0</v>
      </c>
      <c r="BF40" s="232">
        <v>1</v>
      </c>
      <c r="BG40" s="233"/>
      <c r="BH40" s="233"/>
      <c r="BI40" s="233"/>
      <c r="BJ40" s="233"/>
      <c r="BK40" s="233"/>
      <c r="BL40" s="232">
        <f t="shared" si="30"/>
        <v>1</v>
      </c>
      <c r="BN40" s="229">
        <f t="shared" ref="BN40:BS60" si="33">B40+J40+R40+Z40+AH40+AP40+AX40+BF40</f>
        <v>20</v>
      </c>
      <c r="BO40" s="229">
        <f t="shared" si="31"/>
        <v>1</v>
      </c>
      <c r="BP40" s="229">
        <f t="shared" si="31"/>
        <v>0</v>
      </c>
      <c r="BQ40" s="229">
        <f t="shared" si="31"/>
        <v>0</v>
      </c>
      <c r="BR40" s="229">
        <f t="shared" si="31"/>
        <v>0</v>
      </c>
      <c r="BS40" s="229">
        <f t="shared" si="31"/>
        <v>0</v>
      </c>
      <c r="BT40" s="232">
        <f t="shared" si="32"/>
        <v>21</v>
      </c>
    </row>
    <row r="41" spans="1:72" x14ac:dyDescent="0.25">
      <c r="A41" s="194" t="s">
        <v>192</v>
      </c>
      <c r="B41" s="232"/>
      <c r="C41" s="233"/>
      <c r="D41" s="233"/>
      <c r="E41" s="233"/>
      <c r="F41" s="233"/>
      <c r="G41" s="233"/>
      <c r="H41" s="232">
        <f t="shared" si="23"/>
        <v>0</v>
      </c>
      <c r="J41" s="232">
        <v>1</v>
      </c>
      <c r="K41" s="233"/>
      <c r="L41" s="233"/>
      <c r="M41" s="233"/>
      <c r="N41" s="233"/>
      <c r="O41" s="233"/>
      <c r="P41" s="232">
        <f t="shared" si="24"/>
        <v>1</v>
      </c>
      <c r="R41" s="232"/>
      <c r="S41" s="233"/>
      <c r="T41" s="233"/>
      <c r="U41" s="233"/>
      <c r="V41" s="233"/>
      <c r="W41" s="233"/>
      <c r="X41" s="232">
        <f t="shared" si="25"/>
        <v>0</v>
      </c>
      <c r="Z41" s="232"/>
      <c r="AA41" s="233"/>
      <c r="AB41" s="233"/>
      <c r="AC41" s="233"/>
      <c r="AD41" s="233"/>
      <c r="AE41" s="233"/>
      <c r="AF41" s="232">
        <f t="shared" si="26"/>
        <v>0</v>
      </c>
      <c r="AH41" s="232"/>
      <c r="AI41" s="233"/>
      <c r="AJ41" s="233"/>
      <c r="AK41" s="233"/>
      <c r="AL41" s="233"/>
      <c r="AM41" s="233"/>
      <c r="AN41" s="232">
        <f t="shared" si="27"/>
        <v>0</v>
      </c>
      <c r="AP41" s="233">
        <v>1</v>
      </c>
      <c r="AQ41" s="233"/>
      <c r="AR41" s="233"/>
      <c r="AS41" s="233"/>
      <c r="AT41" s="233"/>
      <c r="AU41" s="233"/>
      <c r="AV41" s="232">
        <f t="shared" si="28"/>
        <v>1</v>
      </c>
      <c r="AX41" s="232">
        <v>0</v>
      </c>
      <c r="AY41" s="233"/>
      <c r="AZ41" s="233"/>
      <c r="BA41" s="233"/>
      <c r="BB41" s="233"/>
      <c r="BC41" s="233"/>
      <c r="BD41" s="232">
        <f t="shared" si="29"/>
        <v>0</v>
      </c>
      <c r="BF41" s="232"/>
      <c r="BG41" s="233"/>
      <c r="BH41" s="233"/>
      <c r="BI41" s="233"/>
      <c r="BJ41" s="233"/>
      <c r="BK41" s="233"/>
      <c r="BL41" s="232">
        <f t="shared" si="30"/>
        <v>0</v>
      </c>
      <c r="BN41" s="229">
        <f t="shared" si="33"/>
        <v>2</v>
      </c>
      <c r="BO41" s="229">
        <f t="shared" si="31"/>
        <v>0</v>
      </c>
      <c r="BP41" s="229">
        <f t="shared" si="31"/>
        <v>0</v>
      </c>
      <c r="BQ41" s="229">
        <f t="shared" si="31"/>
        <v>0</v>
      </c>
      <c r="BR41" s="229">
        <f t="shared" si="31"/>
        <v>0</v>
      </c>
      <c r="BS41" s="229">
        <f t="shared" si="31"/>
        <v>0</v>
      </c>
      <c r="BT41" s="232">
        <f t="shared" si="32"/>
        <v>2</v>
      </c>
    </row>
    <row r="42" spans="1:72" x14ac:dyDescent="0.25">
      <c r="A42" s="191" t="s">
        <v>193</v>
      </c>
      <c r="B42" s="232"/>
      <c r="C42" s="233"/>
      <c r="D42" s="233"/>
      <c r="E42" s="233"/>
      <c r="F42" s="233"/>
      <c r="G42" s="233"/>
      <c r="H42" s="232">
        <f t="shared" si="23"/>
        <v>0</v>
      </c>
      <c r="J42" s="233">
        <v>4</v>
      </c>
      <c r="K42" s="233"/>
      <c r="L42" s="233"/>
      <c r="M42" s="233"/>
      <c r="N42" s="233"/>
      <c r="O42" s="233"/>
      <c r="P42" s="232">
        <f t="shared" si="24"/>
        <v>4</v>
      </c>
      <c r="R42" s="232">
        <v>1</v>
      </c>
      <c r="S42" s="233"/>
      <c r="T42" s="233"/>
      <c r="U42" s="233"/>
      <c r="V42" s="233"/>
      <c r="W42" s="233"/>
      <c r="X42" s="232">
        <f t="shared" si="25"/>
        <v>1</v>
      </c>
      <c r="Z42" s="232"/>
      <c r="AA42" s="233"/>
      <c r="AB42" s="233"/>
      <c r="AC42" s="233"/>
      <c r="AD42" s="233"/>
      <c r="AE42" s="233"/>
      <c r="AF42" s="232">
        <f t="shared" si="26"/>
        <v>0</v>
      </c>
      <c r="AH42" s="232">
        <v>3</v>
      </c>
      <c r="AI42" s="233"/>
      <c r="AJ42" s="233"/>
      <c r="AK42" s="233"/>
      <c r="AL42" s="233"/>
      <c r="AM42" s="233"/>
      <c r="AN42" s="232">
        <f t="shared" si="27"/>
        <v>3</v>
      </c>
      <c r="AP42" s="233"/>
      <c r="AQ42" s="233"/>
      <c r="AR42" s="233"/>
      <c r="AS42" s="233"/>
      <c r="AT42" s="233"/>
      <c r="AU42" s="233"/>
      <c r="AV42" s="232">
        <f t="shared" si="28"/>
        <v>0</v>
      </c>
      <c r="AX42" s="232"/>
      <c r="AY42" s="233"/>
      <c r="AZ42" s="233"/>
      <c r="BA42" s="233"/>
      <c r="BB42" s="233"/>
      <c r="BC42" s="233"/>
      <c r="BD42" s="232">
        <f t="shared" si="29"/>
        <v>0</v>
      </c>
      <c r="BF42" s="232"/>
      <c r="BG42" s="233"/>
      <c r="BH42" s="233"/>
      <c r="BI42" s="233"/>
      <c r="BJ42" s="233"/>
      <c r="BK42" s="233"/>
      <c r="BL42" s="232">
        <f t="shared" si="30"/>
        <v>0</v>
      </c>
      <c r="BN42" s="229">
        <f t="shared" si="33"/>
        <v>8</v>
      </c>
      <c r="BO42" s="229">
        <f t="shared" si="31"/>
        <v>0</v>
      </c>
      <c r="BP42" s="229">
        <f t="shared" si="31"/>
        <v>0</v>
      </c>
      <c r="BQ42" s="229">
        <f t="shared" si="31"/>
        <v>0</v>
      </c>
      <c r="BR42" s="229">
        <f t="shared" si="31"/>
        <v>0</v>
      </c>
      <c r="BS42" s="229">
        <f t="shared" si="31"/>
        <v>0</v>
      </c>
      <c r="BT42" s="232">
        <f t="shared" si="32"/>
        <v>8</v>
      </c>
    </row>
    <row r="43" spans="1:72" x14ac:dyDescent="0.25">
      <c r="A43" s="191" t="s">
        <v>194</v>
      </c>
      <c r="B43" s="232">
        <v>1</v>
      </c>
      <c r="C43" s="233"/>
      <c r="D43" s="233"/>
      <c r="E43" s="233"/>
      <c r="F43" s="233">
        <v>1</v>
      </c>
      <c r="G43" s="233"/>
      <c r="H43" s="232">
        <f t="shared" si="23"/>
        <v>2</v>
      </c>
      <c r="J43" s="233">
        <v>3</v>
      </c>
      <c r="K43" s="233"/>
      <c r="L43" s="233"/>
      <c r="M43" s="233"/>
      <c r="N43" s="233"/>
      <c r="O43" s="233"/>
      <c r="P43" s="232">
        <f t="shared" si="24"/>
        <v>3</v>
      </c>
      <c r="R43" s="232">
        <v>1</v>
      </c>
      <c r="S43" s="233"/>
      <c r="T43" s="233"/>
      <c r="U43" s="233"/>
      <c r="V43" s="233"/>
      <c r="W43" s="233"/>
      <c r="X43" s="232">
        <f t="shared" si="25"/>
        <v>1</v>
      </c>
      <c r="Z43" s="232">
        <v>3</v>
      </c>
      <c r="AA43" s="233"/>
      <c r="AB43" s="233"/>
      <c r="AC43" s="233"/>
      <c r="AD43" s="233"/>
      <c r="AE43" s="233"/>
      <c r="AF43" s="232">
        <f t="shared" si="26"/>
        <v>3</v>
      </c>
      <c r="AH43" s="232">
        <v>2</v>
      </c>
      <c r="AI43" s="233"/>
      <c r="AJ43" s="233"/>
      <c r="AK43" s="233"/>
      <c r="AL43" s="233"/>
      <c r="AM43" s="233"/>
      <c r="AN43" s="232">
        <f t="shared" si="27"/>
        <v>2</v>
      </c>
      <c r="AP43" s="233">
        <v>1</v>
      </c>
      <c r="AQ43" s="233"/>
      <c r="AR43" s="233"/>
      <c r="AS43" s="233"/>
      <c r="AT43" s="233">
        <v>0</v>
      </c>
      <c r="AU43" s="233"/>
      <c r="AV43" s="232">
        <f t="shared" si="28"/>
        <v>1</v>
      </c>
      <c r="AX43" s="232">
        <v>1</v>
      </c>
      <c r="AY43" s="233"/>
      <c r="AZ43" s="233"/>
      <c r="BA43" s="233"/>
      <c r="BB43" s="233">
        <v>0</v>
      </c>
      <c r="BC43" s="233"/>
      <c r="BD43" s="232">
        <f t="shared" si="29"/>
        <v>1</v>
      </c>
      <c r="BF43" s="232">
        <v>0</v>
      </c>
      <c r="BG43" s="233"/>
      <c r="BH43" s="233"/>
      <c r="BI43" s="233"/>
      <c r="BJ43" s="233">
        <v>1</v>
      </c>
      <c r="BK43" s="233"/>
      <c r="BL43" s="232">
        <f t="shared" si="30"/>
        <v>1</v>
      </c>
      <c r="BN43" s="229">
        <f t="shared" si="33"/>
        <v>12</v>
      </c>
      <c r="BO43" s="229">
        <f t="shared" si="31"/>
        <v>0</v>
      </c>
      <c r="BP43" s="229">
        <f t="shared" si="31"/>
        <v>0</v>
      </c>
      <c r="BQ43" s="229">
        <f t="shared" si="31"/>
        <v>0</v>
      </c>
      <c r="BR43" s="229">
        <f t="shared" si="31"/>
        <v>2</v>
      </c>
      <c r="BS43" s="229">
        <f t="shared" si="31"/>
        <v>0</v>
      </c>
      <c r="BT43" s="232">
        <f t="shared" si="32"/>
        <v>14</v>
      </c>
    </row>
    <row r="44" spans="1:72" x14ac:dyDescent="0.25">
      <c r="A44" s="191" t="s">
        <v>195</v>
      </c>
      <c r="B44" s="232"/>
      <c r="C44" s="233"/>
      <c r="D44" s="233"/>
      <c r="E44" s="233"/>
      <c r="F44" s="233"/>
      <c r="G44" s="233"/>
      <c r="H44" s="232">
        <f t="shared" si="23"/>
        <v>0</v>
      </c>
      <c r="J44" s="233">
        <v>5</v>
      </c>
      <c r="K44" s="233"/>
      <c r="L44" s="233"/>
      <c r="M44" s="233"/>
      <c r="N44" s="233"/>
      <c r="O44" s="233"/>
      <c r="P44" s="232">
        <f t="shared" si="24"/>
        <v>5</v>
      </c>
      <c r="R44" s="232"/>
      <c r="S44" s="233"/>
      <c r="T44" s="233"/>
      <c r="U44" s="233"/>
      <c r="V44" s="233"/>
      <c r="W44" s="233"/>
      <c r="X44" s="232">
        <f t="shared" si="25"/>
        <v>0</v>
      </c>
      <c r="Z44" s="232"/>
      <c r="AA44" s="233"/>
      <c r="AB44" s="233"/>
      <c r="AC44" s="233"/>
      <c r="AD44" s="233"/>
      <c r="AE44" s="233"/>
      <c r="AF44" s="232">
        <f t="shared" si="26"/>
        <v>0</v>
      </c>
      <c r="AH44" s="232">
        <v>4</v>
      </c>
      <c r="AI44" s="233"/>
      <c r="AJ44" s="233"/>
      <c r="AK44" s="233"/>
      <c r="AL44" s="233"/>
      <c r="AM44" s="233"/>
      <c r="AN44" s="232">
        <f t="shared" si="27"/>
        <v>4</v>
      </c>
      <c r="AP44" s="233"/>
      <c r="AQ44" s="233"/>
      <c r="AR44" s="233"/>
      <c r="AS44" s="233"/>
      <c r="AT44" s="233"/>
      <c r="AU44" s="233"/>
      <c r="AV44" s="232">
        <f t="shared" si="28"/>
        <v>0</v>
      </c>
      <c r="AX44" s="232"/>
      <c r="AY44" s="233"/>
      <c r="AZ44" s="233"/>
      <c r="BA44" s="233"/>
      <c r="BB44" s="233"/>
      <c r="BC44" s="233"/>
      <c r="BD44" s="232">
        <f t="shared" si="29"/>
        <v>0</v>
      </c>
      <c r="BF44" s="232"/>
      <c r="BG44" s="233"/>
      <c r="BH44" s="233"/>
      <c r="BI44" s="233"/>
      <c r="BJ44" s="233"/>
      <c r="BK44" s="233"/>
      <c r="BL44" s="232">
        <f t="shared" si="30"/>
        <v>0</v>
      </c>
      <c r="BN44" s="229">
        <f t="shared" si="33"/>
        <v>9</v>
      </c>
      <c r="BO44" s="229">
        <f t="shared" si="31"/>
        <v>0</v>
      </c>
      <c r="BP44" s="229">
        <f t="shared" si="31"/>
        <v>0</v>
      </c>
      <c r="BQ44" s="229">
        <f t="shared" si="31"/>
        <v>0</v>
      </c>
      <c r="BR44" s="229">
        <f t="shared" si="31"/>
        <v>0</v>
      </c>
      <c r="BS44" s="229">
        <f t="shared" si="31"/>
        <v>0</v>
      </c>
      <c r="BT44" s="232">
        <f t="shared" si="32"/>
        <v>9</v>
      </c>
    </row>
    <row r="45" spans="1:72" x14ac:dyDescent="0.25">
      <c r="A45" s="191" t="s">
        <v>196</v>
      </c>
      <c r="B45" s="232"/>
      <c r="C45" s="233"/>
      <c r="D45" s="233"/>
      <c r="E45" s="233"/>
      <c r="F45" s="233"/>
      <c r="G45" s="233"/>
      <c r="H45" s="232">
        <f t="shared" si="23"/>
        <v>0</v>
      </c>
      <c r="J45" s="232">
        <v>1</v>
      </c>
      <c r="K45" s="233"/>
      <c r="L45" s="233"/>
      <c r="M45" s="233"/>
      <c r="N45" s="233"/>
      <c r="O45" s="233"/>
      <c r="P45" s="232">
        <f t="shared" si="24"/>
        <v>1</v>
      </c>
      <c r="R45" s="232"/>
      <c r="S45" s="233"/>
      <c r="T45" s="233"/>
      <c r="U45" s="233"/>
      <c r="V45" s="233"/>
      <c r="W45" s="233"/>
      <c r="X45" s="232">
        <f t="shared" si="25"/>
        <v>0</v>
      </c>
      <c r="Z45" s="232"/>
      <c r="AA45" s="233"/>
      <c r="AB45" s="233"/>
      <c r="AC45" s="233"/>
      <c r="AD45" s="233"/>
      <c r="AE45" s="233"/>
      <c r="AF45" s="232">
        <f t="shared" si="26"/>
        <v>0</v>
      </c>
      <c r="AH45" s="232"/>
      <c r="AI45" s="233"/>
      <c r="AJ45" s="233"/>
      <c r="AK45" s="233"/>
      <c r="AL45" s="233"/>
      <c r="AM45" s="233"/>
      <c r="AN45" s="232">
        <f t="shared" si="27"/>
        <v>0</v>
      </c>
      <c r="AP45" s="233"/>
      <c r="AQ45" s="233"/>
      <c r="AR45" s="233"/>
      <c r="AS45" s="233"/>
      <c r="AT45" s="233"/>
      <c r="AU45" s="233"/>
      <c r="AV45" s="232">
        <f t="shared" si="28"/>
        <v>0</v>
      </c>
      <c r="AX45" s="232"/>
      <c r="AY45" s="233"/>
      <c r="AZ45" s="233"/>
      <c r="BA45" s="233"/>
      <c r="BB45" s="233"/>
      <c r="BC45" s="233"/>
      <c r="BD45" s="232">
        <f t="shared" si="29"/>
        <v>0</v>
      </c>
      <c r="BF45" s="232"/>
      <c r="BG45" s="233"/>
      <c r="BH45" s="233"/>
      <c r="BI45" s="233"/>
      <c r="BJ45" s="233"/>
      <c r="BK45" s="233"/>
      <c r="BL45" s="232">
        <f t="shared" si="30"/>
        <v>0</v>
      </c>
      <c r="BN45" s="229">
        <f t="shared" si="33"/>
        <v>1</v>
      </c>
      <c r="BO45" s="229">
        <f t="shared" si="31"/>
        <v>0</v>
      </c>
      <c r="BP45" s="229">
        <f t="shared" si="31"/>
        <v>0</v>
      </c>
      <c r="BQ45" s="229">
        <f t="shared" si="31"/>
        <v>0</v>
      </c>
      <c r="BR45" s="229">
        <f t="shared" si="31"/>
        <v>0</v>
      </c>
      <c r="BS45" s="229">
        <f t="shared" si="31"/>
        <v>0</v>
      </c>
      <c r="BT45" s="232">
        <f t="shared" si="32"/>
        <v>1</v>
      </c>
    </row>
    <row r="46" spans="1:72" x14ac:dyDescent="0.25">
      <c r="A46" s="191" t="s">
        <v>197</v>
      </c>
      <c r="B46" s="232">
        <v>2</v>
      </c>
      <c r="C46" s="233"/>
      <c r="D46" s="233"/>
      <c r="E46" s="233"/>
      <c r="F46" s="233"/>
      <c r="G46" s="233"/>
      <c r="H46" s="232">
        <f t="shared" si="23"/>
        <v>2</v>
      </c>
      <c r="J46" s="232">
        <v>4</v>
      </c>
      <c r="K46" s="233"/>
      <c r="L46" s="233"/>
      <c r="M46" s="233"/>
      <c r="N46" s="233"/>
      <c r="O46" s="233"/>
      <c r="P46" s="232">
        <f t="shared" si="24"/>
        <v>4</v>
      </c>
      <c r="R46" s="232">
        <v>1</v>
      </c>
      <c r="S46" s="233"/>
      <c r="T46" s="233"/>
      <c r="U46" s="233"/>
      <c r="V46" s="233"/>
      <c r="W46" s="233"/>
      <c r="X46" s="232">
        <f t="shared" si="25"/>
        <v>1</v>
      </c>
      <c r="Z46" s="232">
        <v>1</v>
      </c>
      <c r="AA46" s="233"/>
      <c r="AB46" s="233"/>
      <c r="AC46" s="233"/>
      <c r="AD46" s="233"/>
      <c r="AE46" s="233"/>
      <c r="AF46" s="232">
        <f t="shared" si="26"/>
        <v>1</v>
      </c>
      <c r="AH46" s="232">
        <v>3</v>
      </c>
      <c r="AI46" s="233"/>
      <c r="AJ46" s="233"/>
      <c r="AK46" s="233"/>
      <c r="AL46" s="233"/>
      <c r="AM46" s="233"/>
      <c r="AN46" s="232">
        <f t="shared" si="27"/>
        <v>3</v>
      </c>
      <c r="AP46" s="233">
        <v>1</v>
      </c>
      <c r="AQ46" s="233"/>
      <c r="AR46" s="233"/>
      <c r="AS46" s="233"/>
      <c r="AT46" s="233"/>
      <c r="AU46" s="233"/>
      <c r="AV46" s="232">
        <f t="shared" si="28"/>
        <v>1</v>
      </c>
      <c r="AX46" s="232">
        <v>0</v>
      </c>
      <c r="AY46" s="233"/>
      <c r="AZ46" s="233"/>
      <c r="BA46" s="233"/>
      <c r="BB46" s="233"/>
      <c r="BC46" s="233"/>
      <c r="BD46" s="232">
        <f t="shared" si="29"/>
        <v>0</v>
      </c>
      <c r="BF46" s="232">
        <v>1</v>
      </c>
      <c r="BG46" s="233"/>
      <c r="BH46" s="233"/>
      <c r="BI46" s="233"/>
      <c r="BJ46" s="233"/>
      <c r="BK46" s="233"/>
      <c r="BL46" s="232">
        <f t="shared" si="30"/>
        <v>1</v>
      </c>
      <c r="BN46" s="229">
        <f t="shared" si="33"/>
        <v>13</v>
      </c>
      <c r="BO46" s="229">
        <f t="shared" si="31"/>
        <v>0</v>
      </c>
      <c r="BP46" s="229">
        <f t="shared" si="31"/>
        <v>0</v>
      </c>
      <c r="BQ46" s="229">
        <f t="shared" si="31"/>
        <v>0</v>
      </c>
      <c r="BR46" s="229">
        <f t="shared" si="31"/>
        <v>0</v>
      </c>
      <c r="BS46" s="229">
        <f t="shared" si="31"/>
        <v>0</v>
      </c>
      <c r="BT46" s="232">
        <f t="shared" si="32"/>
        <v>13</v>
      </c>
    </row>
    <row r="47" spans="1:72" x14ac:dyDescent="0.25">
      <c r="A47" s="191" t="s">
        <v>198</v>
      </c>
      <c r="B47" s="232">
        <v>1</v>
      </c>
      <c r="C47" s="233"/>
      <c r="D47" s="233"/>
      <c r="E47" s="233"/>
      <c r="F47" s="233"/>
      <c r="G47" s="233"/>
      <c r="H47" s="232">
        <f t="shared" si="23"/>
        <v>1</v>
      </c>
      <c r="J47" s="232">
        <v>1</v>
      </c>
      <c r="K47" s="233"/>
      <c r="L47" s="233"/>
      <c r="M47" s="233"/>
      <c r="N47" s="233"/>
      <c r="O47" s="233"/>
      <c r="P47" s="232">
        <f t="shared" si="24"/>
        <v>1</v>
      </c>
      <c r="R47" s="232">
        <v>1</v>
      </c>
      <c r="S47" s="233"/>
      <c r="T47" s="233"/>
      <c r="U47" s="233"/>
      <c r="V47" s="233"/>
      <c r="W47" s="233"/>
      <c r="X47" s="232">
        <f t="shared" si="25"/>
        <v>1</v>
      </c>
      <c r="Z47" s="232">
        <v>1</v>
      </c>
      <c r="AA47" s="233"/>
      <c r="AB47" s="233"/>
      <c r="AC47" s="233"/>
      <c r="AD47" s="233"/>
      <c r="AE47" s="233"/>
      <c r="AF47" s="232">
        <f t="shared" si="26"/>
        <v>1</v>
      </c>
      <c r="AH47" s="232">
        <v>2</v>
      </c>
      <c r="AI47" s="233"/>
      <c r="AJ47" s="233"/>
      <c r="AK47" s="233"/>
      <c r="AL47" s="233"/>
      <c r="AM47" s="233"/>
      <c r="AN47" s="232">
        <f t="shared" si="27"/>
        <v>2</v>
      </c>
      <c r="AP47" s="233">
        <v>1</v>
      </c>
      <c r="AQ47" s="233"/>
      <c r="AR47" s="233"/>
      <c r="AS47" s="233"/>
      <c r="AT47" s="233"/>
      <c r="AU47" s="233"/>
      <c r="AV47" s="232">
        <f t="shared" si="28"/>
        <v>1</v>
      </c>
      <c r="AX47" s="232"/>
      <c r="AY47" s="233"/>
      <c r="AZ47" s="233"/>
      <c r="BA47" s="233"/>
      <c r="BB47" s="233"/>
      <c r="BC47" s="233"/>
      <c r="BD47" s="232">
        <f t="shared" si="29"/>
        <v>0</v>
      </c>
      <c r="BF47" s="232"/>
      <c r="BG47" s="233"/>
      <c r="BH47" s="233"/>
      <c r="BI47" s="233"/>
      <c r="BJ47" s="233"/>
      <c r="BK47" s="233"/>
      <c r="BL47" s="232">
        <f t="shared" si="30"/>
        <v>0</v>
      </c>
      <c r="BN47" s="229">
        <f t="shared" si="33"/>
        <v>7</v>
      </c>
      <c r="BO47" s="229">
        <f t="shared" si="31"/>
        <v>0</v>
      </c>
      <c r="BP47" s="229">
        <f t="shared" si="31"/>
        <v>0</v>
      </c>
      <c r="BQ47" s="229">
        <f t="shared" si="31"/>
        <v>0</v>
      </c>
      <c r="BR47" s="229">
        <f t="shared" si="31"/>
        <v>0</v>
      </c>
      <c r="BS47" s="229">
        <f t="shared" si="31"/>
        <v>0</v>
      </c>
      <c r="BT47" s="232">
        <f t="shared" si="32"/>
        <v>7</v>
      </c>
    </row>
    <row r="48" spans="1:72" x14ac:dyDescent="0.25">
      <c r="A48" s="191" t="s">
        <v>199</v>
      </c>
      <c r="B48" s="232">
        <v>1</v>
      </c>
      <c r="C48" s="233"/>
      <c r="D48" s="233"/>
      <c r="E48" s="233"/>
      <c r="F48" s="233"/>
      <c r="G48" s="233"/>
      <c r="H48" s="232">
        <f t="shared" si="23"/>
        <v>1</v>
      </c>
      <c r="J48" s="307">
        <v>2</v>
      </c>
      <c r="K48" s="233"/>
      <c r="L48" s="233"/>
      <c r="M48" s="233"/>
      <c r="N48" s="233"/>
      <c r="O48" s="233"/>
      <c r="P48" s="232">
        <f t="shared" si="24"/>
        <v>2</v>
      </c>
      <c r="R48" s="307">
        <v>1</v>
      </c>
      <c r="S48" s="233"/>
      <c r="T48" s="233"/>
      <c r="U48" s="233"/>
      <c r="V48" s="233"/>
      <c r="W48" s="233"/>
      <c r="X48" s="232">
        <f t="shared" si="25"/>
        <v>1</v>
      </c>
      <c r="Z48" s="232">
        <v>1</v>
      </c>
      <c r="AA48" s="233"/>
      <c r="AB48" s="233"/>
      <c r="AC48" s="233"/>
      <c r="AD48" s="233"/>
      <c r="AE48" s="233"/>
      <c r="AF48" s="232">
        <f t="shared" si="26"/>
        <v>1</v>
      </c>
      <c r="AH48" s="233">
        <v>2</v>
      </c>
      <c r="AI48" s="233"/>
      <c r="AJ48" s="233"/>
      <c r="AK48" s="233"/>
      <c r="AL48" s="233"/>
      <c r="AM48" s="233"/>
      <c r="AN48" s="232">
        <f t="shared" si="27"/>
        <v>2</v>
      </c>
      <c r="AP48" s="233">
        <v>1</v>
      </c>
      <c r="AQ48" s="233"/>
      <c r="AR48" s="233"/>
      <c r="AS48" s="233"/>
      <c r="AT48" s="233"/>
      <c r="AU48" s="233"/>
      <c r="AV48" s="232">
        <f t="shared" si="28"/>
        <v>1</v>
      </c>
      <c r="AX48" s="232">
        <v>0</v>
      </c>
      <c r="AY48" s="233"/>
      <c r="AZ48" s="233"/>
      <c r="BA48" s="233"/>
      <c r="BB48" s="233"/>
      <c r="BC48" s="233"/>
      <c r="BD48" s="232">
        <f t="shared" si="29"/>
        <v>0</v>
      </c>
      <c r="BF48" s="232"/>
      <c r="BG48" s="233"/>
      <c r="BH48" s="233"/>
      <c r="BI48" s="233"/>
      <c r="BJ48" s="233"/>
      <c r="BK48" s="233"/>
      <c r="BL48" s="232">
        <f t="shared" si="30"/>
        <v>0</v>
      </c>
      <c r="BN48" s="229">
        <f t="shared" si="33"/>
        <v>8</v>
      </c>
      <c r="BO48" s="229">
        <f t="shared" si="31"/>
        <v>0</v>
      </c>
      <c r="BP48" s="229">
        <f t="shared" si="31"/>
        <v>0</v>
      </c>
      <c r="BQ48" s="229">
        <f t="shared" si="31"/>
        <v>0</v>
      </c>
      <c r="BR48" s="229">
        <f t="shared" si="31"/>
        <v>0</v>
      </c>
      <c r="BS48" s="229">
        <f t="shared" si="31"/>
        <v>0</v>
      </c>
      <c r="BT48" s="232">
        <f t="shared" si="32"/>
        <v>8</v>
      </c>
    </row>
    <row r="49" spans="1:72" x14ac:dyDescent="0.25">
      <c r="A49" s="191" t="s">
        <v>200</v>
      </c>
      <c r="B49" s="232">
        <v>2</v>
      </c>
      <c r="C49" s="233"/>
      <c r="D49" s="233"/>
      <c r="E49" s="233"/>
      <c r="F49" s="233"/>
      <c r="G49" s="233"/>
      <c r="H49" s="232">
        <f t="shared" si="23"/>
        <v>2</v>
      </c>
      <c r="J49" s="232">
        <v>3</v>
      </c>
      <c r="K49" s="233"/>
      <c r="L49" s="233"/>
      <c r="M49" s="233"/>
      <c r="N49" s="233"/>
      <c r="O49" s="233"/>
      <c r="P49" s="232">
        <f t="shared" si="24"/>
        <v>3</v>
      </c>
      <c r="R49" s="232">
        <v>1</v>
      </c>
      <c r="S49" s="233"/>
      <c r="T49" s="233"/>
      <c r="U49" s="233"/>
      <c r="V49" s="233"/>
      <c r="W49" s="233"/>
      <c r="X49" s="232">
        <f t="shared" si="25"/>
        <v>1</v>
      </c>
      <c r="Z49" s="232">
        <v>1</v>
      </c>
      <c r="AA49" s="233"/>
      <c r="AB49" s="233"/>
      <c r="AC49" s="233"/>
      <c r="AD49" s="233"/>
      <c r="AE49" s="233"/>
      <c r="AF49" s="232">
        <f t="shared" si="26"/>
        <v>1</v>
      </c>
      <c r="AH49" s="307">
        <v>3</v>
      </c>
      <c r="AI49" s="233"/>
      <c r="AJ49" s="233"/>
      <c r="AK49" s="233"/>
      <c r="AL49" s="233"/>
      <c r="AM49" s="233"/>
      <c r="AN49" s="232">
        <f t="shared" si="27"/>
        <v>3</v>
      </c>
      <c r="AP49" s="233">
        <v>1</v>
      </c>
      <c r="AQ49" s="233"/>
      <c r="AR49" s="233"/>
      <c r="AS49" s="233"/>
      <c r="AT49" s="233"/>
      <c r="AU49" s="233"/>
      <c r="AV49" s="232">
        <f t="shared" si="28"/>
        <v>1</v>
      </c>
      <c r="AX49" s="232">
        <v>0</v>
      </c>
      <c r="AY49" s="233"/>
      <c r="AZ49" s="233"/>
      <c r="BA49" s="233"/>
      <c r="BB49" s="233"/>
      <c r="BC49" s="233"/>
      <c r="BD49" s="232">
        <f t="shared" si="29"/>
        <v>0</v>
      </c>
      <c r="BF49" s="232">
        <v>1</v>
      </c>
      <c r="BG49" s="233"/>
      <c r="BH49" s="233"/>
      <c r="BI49" s="233"/>
      <c r="BJ49" s="233"/>
      <c r="BK49" s="233"/>
      <c r="BL49" s="232">
        <f t="shared" si="30"/>
        <v>1</v>
      </c>
      <c r="BN49" s="229">
        <f t="shared" si="33"/>
        <v>12</v>
      </c>
      <c r="BO49" s="229">
        <f t="shared" si="31"/>
        <v>0</v>
      </c>
      <c r="BP49" s="229">
        <f t="shared" si="31"/>
        <v>0</v>
      </c>
      <c r="BQ49" s="229">
        <f t="shared" si="31"/>
        <v>0</v>
      </c>
      <c r="BR49" s="229">
        <f t="shared" si="31"/>
        <v>0</v>
      </c>
      <c r="BS49" s="229">
        <f t="shared" si="31"/>
        <v>0</v>
      </c>
      <c r="BT49" s="232">
        <f t="shared" si="32"/>
        <v>12</v>
      </c>
    </row>
    <row r="50" spans="1:72" x14ac:dyDescent="0.25">
      <c r="A50" s="191" t="s">
        <v>201</v>
      </c>
      <c r="B50" s="233">
        <v>4</v>
      </c>
      <c r="C50" s="233">
        <v>4</v>
      </c>
      <c r="D50" s="233"/>
      <c r="E50" s="233"/>
      <c r="F50" s="233"/>
      <c r="G50" s="233"/>
      <c r="H50" s="232">
        <f>SUM(B50:G50)</f>
        <v>8</v>
      </c>
      <c r="J50" s="233">
        <v>10</v>
      </c>
      <c r="K50" s="233">
        <v>12</v>
      </c>
      <c r="L50" s="233"/>
      <c r="M50" s="233"/>
      <c r="N50" s="233"/>
      <c r="O50" s="233"/>
      <c r="P50" s="232">
        <f>SUM(J50:O50)</f>
        <v>22</v>
      </c>
      <c r="R50" s="233">
        <v>6</v>
      </c>
      <c r="S50" s="233">
        <v>4</v>
      </c>
      <c r="T50" s="233"/>
      <c r="U50" s="233"/>
      <c r="V50" s="233"/>
      <c r="W50" s="233"/>
      <c r="X50" s="232">
        <f>SUM(R50:W50)</f>
        <v>10</v>
      </c>
      <c r="Z50" s="233">
        <v>5</v>
      </c>
      <c r="AA50" s="233">
        <v>5</v>
      </c>
      <c r="AB50" s="233"/>
      <c r="AC50" s="233"/>
      <c r="AD50" s="233"/>
      <c r="AE50" s="233"/>
      <c r="AF50" s="232">
        <f>SUM(Z50:AE50)</f>
        <v>10</v>
      </c>
      <c r="AH50" s="233">
        <v>5</v>
      </c>
      <c r="AI50" s="233">
        <v>12</v>
      </c>
      <c r="AJ50" s="233"/>
      <c r="AK50" s="233"/>
      <c r="AL50" s="233"/>
      <c r="AM50" s="233"/>
      <c r="AN50" s="232">
        <f>SUM(AH50:AM50)</f>
        <v>17</v>
      </c>
      <c r="AP50" s="313">
        <v>1</v>
      </c>
      <c r="AQ50" s="313">
        <v>4</v>
      </c>
      <c r="AR50" s="233"/>
      <c r="AS50" s="233"/>
      <c r="AT50" s="313">
        <v>4</v>
      </c>
      <c r="AU50" s="233"/>
      <c r="AV50" s="232">
        <f>SUM(AP50:AU50)</f>
        <v>9</v>
      </c>
      <c r="AX50" s="233">
        <v>3</v>
      </c>
      <c r="AY50" s="233">
        <v>1</v>
      </c>
      <c r="AZ50" s="233"/>
      <c r="BA50" s="233"/>
      <c r="BB50" s="233">
        <v>1</v>
      </c>
      <c r="BC50" s="233"/>
      <c r="BD50" s="232">
        <f>SUM(AX50:BC50)</f>
        <v>5</v>
      </c>
      <c r="BF50" s="233"/>
      <c r="BG50" s="233"/>
      <c r="BH50" s="233"/>
      <c r="BI50" s="233"/>
      <c r="BJ50" s="233"/>
      <c r="BK50" s="233"/>
      <c r="BL50" s="232">
        <f>SUM(BF50:BK50)</f>
        <v>0</v>
      </c>
      <c r="BN50" s="229">
        <f t="shared" si="33"/>
        <v>34</v>
      </c>
      <c r="BO50" s="229">
        <f t="shared" si="31"/>
        <v>42</v>
      </c>
      <c r="BP50" s="229">
        <f t="shared" si="31"/>
        <v>0</v>
      </c>
      <c r="BQ50" s="229">
        <f t="shared" si="31"/>
        <v>0</v>
      </c>
      <c r="BR50" s="229">
        <f t="shared" si="31"/>
        <v>5</v>
      </c>
      <c r="BS50" s="229">
        <f t="shared" si="31"/>
        <v>0</v>
      </c>
      <c r="BT50" s="232">
        <f>SUM(BN50:BS50)</f>
        <v>81</v>
      </c>
    </row>
    <row r="51" spans="1:72" x14ac:dyDescent="0.25">
      <c r="A51" s="191" t="s">
        <v>202</v>
      </c>
      <c r="B51" s="233">
        <v>2</v>
      </c>
      <c r="C51" s="233"/>
      <c r="D51" s="233"/>
      <c r="E51" s="233"/>
      <c r="F51" s="233"/>
      <c r="G51" s="233"/>
      <c r="H51" s="232">
        <f t="shared" si="23"/>
        <v>2</v>
      </c>
      <c r="J51" s="233">
        <f>6+2</f>
        <v>8</v>
      </c>
      <c r="K51" s="233"/>
      <c r="L51" s="233"/>
      <c r="M51" s="233"/>
      <c r="N51" s="233"/>
      <c r="O51" s="233"/>
      <c r="P51" s="232">
        <f t="shared" si="24"/>
        <v>8</v>
      </c>
      <c r="R51" s="233">
        <v>3</v>
      </c>
      <c r="S51" s="233"/>
      <c r="T51" s="233"/>
      <c r="U51" s="233"/>
      <c r="V51" s="233"/>
      <c r="W51" s="233"/>
      <c r="X51" s="232">
        <f t="shared" si="25"/>
        <v>3</v>
      </c>
      <c r="Z51" s="233">
        <v>3</v>
      </c>
      <c r="AA51" s="233"/>
      <c r="AB51" s="233"/>
      <c r="AC51" s="233"/>
      <c r="AD51" s="233"/>
      <c r="AE51" s="233"/>
      <c r="AF51" s="232">
        <f t="shared" si="26"/>
        <v>3</v>
      </c>
      <c r="AH51" s="233">
        <v>8</v>
      </c>
      <c r="AI51" s="233"/>
      <c r="AJ51" s="233"/>
      <c r="AK51" s="233"/>
      <c r="AL51" s="233"/>
      <c r="AM51" s="233"/>
      <c r="AN51" s="232">
        <f t="shared" si="27"/>
        <v>8</v>
      </c>
      <c r="AP51" s="233">
        <v>2</v>
      </c>
      <c r="AQ51" s="233"/>
      <c r="AR51" s="233"/>
      <c r="AS51" s="233"/>
      <c r="AT51" s="233"/>
      <c r="AU51" s="233"/>
      <c r="AV51" s="232">
        <f t="shared" si="28"/>
        <v>2</v>
      </c>
      <c r="AX51" s="233">
        <v>0</v>
      </c>
      <c r="AY51" s="233"/>
      <c r="AZ51" s="233"/>
      <c r="BA51" s="233"/>
      <c r="BB51" s="233"/>
      <c r="BC51" s="233"/>
      <c r="BD51" s="232">
        <f t="shared" si="29"/>
        <v>0</v>
      </c>
      <c r="BF51" s="233"/>
      <c r="BG51" s="233"/>
      <c r="BH51" s="233"/>
      <c r="BI51" s="233"/>
      <c r="BJ51" s="233"/>
      <c r="BK51" s="233"/>
      <c r="BL51" s="232">
        <f t="shared" si="30"/>
        <v>0</v>
      </c>
      <c r="BN51" s="229">
        <f t="shared" si="33"/>
        <v>26</v>
      </c>
      <c r="BO51" s="229">
        <f t="shared" si="31"/>
        <v>0</v>
      </c>
      <c r="BP51" s="229">
        <f t="shared" si="31"/>
        <v>0</v>
      </c>
      <c r="BQ51" s="229">
        <f t="shared" si="31"/>
        <v>0</v>
      </c>
      <c r="BR51" s="229">
        <f t="shared" si="31"/>
        <v>0</v>
      </c>
      <c r="BS51" s="229">
        <f t="shared" si="31"/>
        <v>0</v>
      </c>
      <c r="BT51" s="232">
        <f t="shared" ref="BT51:BT60" si="34">SUM(BN51:BS51)</f>
        <v>26</v>
      </c>
    </row>
    <row r="52" spans="1:72" x14ac:dyDescent="0.25">
      <c r="A52" s="191" t="s">
        <v>323</v>
      </c>
      <c r="B52" s="233"/>
      <c r="C52" s="233"/>
      <c r="D52" s="233">
        <v>2</v>
      </c>
      <c r="E52" s="233"/>
      <c r="F52" s="233"/>
      <c r="G52" s="233"/>
      <c r="H52" s="232">
        <f t="shared" si="23"/>
        <v>2</v>
      </c>
      <c r="J52" s="233"/>
      <c r="K52" s="233"/>
      <c r="L52" s="233">
        <v>6</v>
      </c>
      <c r="M52" s="233"/>
      <c r="N52" s="233"/>
      <c r="O52" s="233"/>
      <c r="P52" s="232">
        <f t="shared" si="24"/>
        <v>6</v>
      </c>
      <c r="R52" s="233"/>
      <c r="S52" s="233"/>
      <c r="T52" s="233">
        <v>2</v>
      </c>
      <c r="U52" s="233"/>
      <c r="V52" s="233"/>
      <c r="W52" s="233"/>
      <c r="X52" s="232">
        <f t="shared" si="25"/>
        <v>2</v>
      </c>
      <c r="Z52" s="233"/>
      <c r="AA52" s="233"/>
      <c r="AB52" s="233">
        <v>2</v>
      </c>
      <c r="AC52" s="233"/>
      <c r="AD52" s="233"/>
      <c r="AE52" s="233"/>
      <c r="AF52" s="232">
        <f t="shared" si="26"/>
        <v>2</v>
      </c>
      <c r="AH52" s="233"/>
      <c r="AI52" s="233"/>
      <c r="AJ52" s="233">
        <v>4</v>
      </c>
      <c r="AK52" s="233"/>
      <c r="AL52" s="233"/>
      <c r="AM52" s="233"/>
      <c r="AN52" s="232">
        <f t="shared" si="27"/>
        <v>4</v>
      </c>
      <c r="AP52" s="233"/>
      <c r="AQ52" s="233"/>
      <c r="AR52" s="233">
        <v>1</v>
      </c>
      <c r="AS52" s="233"/>
      <c r="AT52" s="233"/>
      <c r="AU52" s="233"/>
      <c r="AV52" s="232">
        <f t="shared" si="28"/>
        <v>1</v>
      </c>
      <c r="AX52" s="233"/>
      <c r="AY52" s="233"/>
      <c r="AZ52" s="233">
        <v>0</v>
      </c>
      <c r="BA52" s="233"/>
      <c r="BB52" s="233"/>
      <c r="BC52" s="233"/>
      <c r="BD52" s="232">
        <f t="shared" si="29"/>
        <v>0</v>
      </c>
      <c r="BF52" s="233"/>
      <c r="BG52" s="233"/>
      <c r="BH52" s="233">
        <v>1</v>
      </c>
      <c r="BI52" s="233"/>
      <c r="BJ52" s="233"/>
      <c r="BK52" s="233"/>
      <c r="BL52" s="232">
        <f t="shared" si="30"/>
        <v>1</v>
      </c>
      <c r="BN52" s="229">
        <f t="shared" si="33"/>
        <v>0</v>
      </c>
      <c r="BO52" s="229">
        <f t="shared" si="31"/>
        <v>0</v>
      </c>
      <c r="BP52" s="229">
        <f t="shared" si="31"/>
        <v>18</v>
      </c>
      <c r="BQ52" s="229">
        <f t="shared" si="31"/>
        <v>0</v>
      </c>
      <c r="BR52" s="229">
        <f t="shared" si="31"/>
        <v>0</v>
      </c>
      <c r="BS52" s="229">
        <f t="shared" si="31"/>
        <v>0</v>
      </c>
      <c r="BT52" s="232">
        <f t="shared" si="34"/>
        <v>18</v>
      </c>
    </row>
    <row r="53" spans="1:72" x14ac:dyDescent="0.25">
      <c r="A53" s="191" t="s">
        <v>203</v>
      </c>
      <c r="B53" s="233"/>
      <c r="C53" s="233"/>
      <c r="D53" s="233"/>
      <c r="E53" s="233"/>
      <c r="F53" s="233"/>
      <c r="G53" s="233"/>
      <c r="H53" s="232">
        <f t="shared" si="23"/>
        <v>0</v>
      </c>
      <c r="J53" s="233">
        <v>1</v>
      </c>
      <c r="K53" s="233"/>
      <c r="L53" s="233"/>
      <c r="M53" s="233"/>
      <c r="N53" s="233"/>
      <c r="O53" s="233"/>
      <c r="P53" s="232">
        <f t="shared" si="24"/>
        <v>1</v>
      </c>
      <c r="R53" s="233">
        <v>1</v>
      </c>
      <c r="S53" s="233"/>
      <c r="T53" s="233"/>
      <c r="U53" s="233"/>
      <c r="V53" s="233"/>
      <c r="W53" s="233"/>
      <c r="X53" s="232">
        <f t="shared" si="25"/>
        <v>1</v>
      </c>
      <c r="Z53" s="233"/>
      <c r="AA53" s="233"/>
      <c r="AB53" s="233"/>
      <c r="AC53" s="233"/>
      <c r="AD53" s="233"/>
      <c r="AE53" s="233"/>
      <c r="AF53" s="232">
        <f t="shared" si="26"/>
        <v>0</v>
      </c>
      <c r="AH53" s="233"/>
      <c r="AI53" s="233"/>
      <c r="AJ53" s="233"/>
      <c r="AK53" s="233"/>
      <c r="AL53" s="233"/>
      <c r="AM53" s="233"/>
      <c r="AN53" s="232">
        <f t="shared" si="27"/>
        <v>0</v>
      </c>
      <c r="AP53" s="233"/>
      <c r="AQ53" s="233"/>
      <c r="AR53" s="233"/>
      <c r="AS53" s="233"/>
      <c r="AT53" s="233"/>
      <c r="AU53" s="233">
        <v>0</v>
      </c>
      <c r="AV53" s="232">
        <f t="shared" si="28"/>
        <v>0</v>
      </c>
      <c r="AX53" s="233"/>
      <c r="AY53" s="233"/>
      <c r="AZ53" s="233"/>
      <c r="BA53" s="233"/>
      <c r="BB53" s="233"/>
      <c r="BC53" s="233">
        <v>0</v>
      </c>
      <c r="BD53" s="232">
        <f t="shared" si="29"/>
        <v>0</v>
      </c>
      <c r="BF53" s="233"/>
      <c r="BG53" s="233"/>
      <c r="BH53" s="233"/>
      <c r="BI53" s="233"/>
      <c r="BJ53" s="233"/>
      <c r="BK53" s="233"/>
      <c r="BL53" s="232">
        <f t="shared" si="30"/>
        <v>0</v>
      </c>
      <c r="BN53" s="229">
        <f t="shared" si="33"/>
        <v>2</v>
      </c>
      <c r="BO53" s="229">
        <f t="shared" si="31"/>
        <v>0</v>
      </c>
      <c r="BP53" s="229">
        <f t="shared" si="31"/>
        <v>0</v>
      </c>
      <c r="BQ53" s="229">
        <f t="shared" si="31"/>
        <v>0</v>
      </c>
      <c r="BR53" s="229">
        <f t="shared" si="31"/>
        <v>0</v>
      </c>
      <c r="BS53" s="229">
        <f t="shared" si="31"/>
        <v>0</v>
      </c>
      <c r="BT53" s="232">
        <f t="shared" si="34"/>
        <v>2</v>
      </c>
    </row>
    <row r="54" spans="1:72" x14ac:dyDescent="0.25">
      <c r="A54" s="194" t="s">
        <v>204</v>
      </c>
      <c r="B54" s="233"/>
      <c r="C54" s="233">
        <v>1</v>
      </c>
      <c r="D54" s="233"/>
      <c r="E54" s="233"/>
      <c r="F54" s="233"/>
      <c r="G54" s="233"/>
      <c r="H54" s="232">
        <f t="shared" si="23"/>
        <v>1</v>
      </c>
      <c r="J54" s="233"/>
      <c r="K54" s="233">
        <v>1</v>
      </c>
      <c r="L54" s="233"/>
      <c r="M54" s="233"/>
      <c r="N54" s="233"/>
      <c r="O54" s="233"/>
      <c r="P54" s="232">
        <f t="shared" si="24"/>
        <v>1</v>
      </c>
      <c r="R54" s="233"/>
      <c r="S54" s="233">
        <v>1</v>
      </c>
      <c r="T54" s="233"/>
      <c r="U54" s="233"/>
      <c r="V54" s="233"/>
      <c r="W54" s="233"/>
      <c r="X54" s="232">
        <f t="shared" si="25"/>
        <v>1</v>
      </c>
      <c r="Z54" s="233"/>
      <c r="AA54" s="233">
        <v>1</v>
      </c>
      <c r="AB54" s="233"/>
      <c r="AC54" s="233"/>
      <c r="AD54" s="233"/>
      <c r="AE54" s="233"/>
      <c r="AF54" s="232">
        <f t="shared" si="26"/>
        <v>1</v>
      </c>
      <c r="AH54" s="233"/>
      <c r="AI54" s="233"/>
      <c r="AJ54" s="233"/>
      <c r="AK54" s="233"/>
      <c r="AL54" s="233"/>
      <c r="AM54" s="233"/>
      <c r="AN54" s="232">
        <f t="shared" si="27"/>
        <v>0</v>
      </c>
      <c r="AP54" s="233"/>
      <c r="AQ54" s="233">
        <v>1</v>
      </c>
      <c r="AR54" s="233"/>
      <c r="AS54" s="233"/>
      <c r="AT54" s="233"/>
      <c r="AU54" s="233"/>
      <c r="AV54" s="232">
        <f t="shared" si="28"/>
        <v>1</v>
      </c>
      <c r="AX54" s="233"/>
      <c r="AY54" s="233"/>
      <c r="AZ54" s="233"/>
      <c r="BA54" s="233"/>
      <c r="BB54" s="233"/>
      <c r="BC54" s="233"/>
      <c r="BD54" s="232">
        <f t="shared" si="29"/>
        <v>0</v>
      </c>
      <c r="BF54" s="233"/>
      <c r="BG54" s="233"/>
      <c r="BH54" s="233"/>
      <c r="BI54" s="233"/>
      <c r="BJ54" s="233"/>
      <c r="BK54" s="233"/>
      <c r="BL54" s="232">
        <f t="shared" si="30"/>
        <v>0</v>
      </c>
      <c r="BN54" s="229">
        <f t="shared" si="33"/>
        <v>0</v>
      </c>
      <c r="BO54" s="229">
        <f t="shared" si="31"/>
        <v>5</v>
      </c>
      <c r="BP54" s="229">
        <f t="shared" si="31"/>
        <v>0</v>
      </c>
      <c r="BQ54" s="229">
        <f t="shared" si="31"/>
        <v>0</v>
      </c>
      <c r="BR54" s="229">
        <f t="shared" si="31"/>
        <v>0</v>
      </c>
      <c r="BS54" s="229">
        <f t="shared" si="31"/>
        <v>0</v>
      </c>
      <c r="BT54" s="232">
        <f t="shared" si="34"/>
        <v>5</v>
      </c>
    </row>
    <row r="55" spans="1:72" x14ac:dyDescent="0.25">
      <c r="A55" s="194" t="s">
        <v>205</v>
      </c>
      <c r="B55" s="233"/>
      <c r="C55" s="233"/>
      <c r="D55" s="233"/>
      <c r="E55" s="233"/>
      <c r="F55" s="233"/>
      <c r="G55" s="233"/>
      <c r="H55" s="232">
        <f t="shared" si="23"/>
        <v>0</v>
      </c>
      <c r="J55" s="233"/>
      <c r="K55" s="233">
        <v>1</v>
      </c>
      <c r="L55" s="233"/>
      <c r="M55" s="233"/>
      <c r="N55" s="233"/>
      <c r="O55" s="233"/>
      <c r="P55" s="232">
        <f t="shared" si="24"/>
        <v>1</v>
      </c>
      <c r="R55" s="233"/>
      <c r="S55" s="233"/>
      <c r="T55" s="233"/>
      <c r="U55" s="233"/>
      <c r="V55" s="233"/>
      <c r="W55" s="233"/>
      <c r="X55" s="232">
        <f t="shared" si="25"/>
        <v>0</v>
      </c>
      <c r="Z55" s="233"/>
      <c r="AA55" s="233">
        <v>1</v>
      </c>
      <c r="AB55" s="233"/>
      <c r="AC55" s="233"/>
      <c r="AD55" s="233"/>
      <c r="AE55" s="233"/>
      <c r="AF55" s="232">
        <f t="shared" si="26"/>
        <v>1</v>
      </c>
      <c r="AH55" s="233"/>
      <c r="AI55" s="233"/>
      <c r="AJ55" s="233"/>
      <c r="AK55" s="233"/>
      <c r="AL55" s="233"/>
      <c r="AM55" s="233"/>
      <c r="AN55" s="232">
        <f t="shared" si="27"/>
        <v>0</v>
      </c>
      <c r="AP55" s="233"/>
      <c r="AQ55" s="233"/>
      <c r="AR55" s="233"/>
      <c r="AS55" s="233"/>
      <c r="AT55" s="233"/>
      <c r="AU55" s="233"/>
      <c r="AV55" s="232">
        <f t="shared" si="28"/>
        <v>0</v>
      </c>
      <c r="AX55" s="233"/>
      <c r="AY55" s="233"/>
      <c r="AZ55" s="233"/>
      <c r="BA55" s="233"/>
      <c r="BB55" s="233"/>
      <c r="BC55" s="233"/>
      <c r="BD55" s="232">
        <f t="shared" si="29"/>
        <v>0</v>
      </c>
      <c r="BF55" s="233"/>
      <c r="BG55" s="233"/>
      <c r="BH55" s="233"/>
      <c r="BI55" s="233"/>
      <c r="BJ55" s="233"/>
      <c r="BK55" s="233"/>
      <c r="BL55" s="232">
        <f t="shared" si="30"/>
        <v>0</v>
      </c>
      <c r="BN55" s="229">
        <f t="shared" si="33"/>
        <v>0</v>
      </c>
      <c r="BO55" s="229">
        <f t="shared" si="33"/>
        <v>2</v>
      </c>
      <c r="BP55" s="229">
        <f t="shared" si="33"/>
        <v>0</v>
      </c>
      <c r="BQ55" s="229">
        <f t="shared" si="33"/>
        <v>0</v>
      </c>
      <c r="BR55" s="229">
        <f t="shared" si="33"/>
        <v>0</v>
      </c>
      <c r="BS55" s="229">
        <f t="shared" si="33"/>
        <v>0</v>
      </c>
      <c r="BT55" s="232">
        <f t="shared" si="34"/>
        <v>2</v>
      </c>
    </row>
    <row r="56" spans="1:72" x14ac:dyDescent="0.25">
      <c r="A56" s="194" t="s">
        <v>206</v>
      </c>
      <c r="B56" s="233"/>
      <c r="C56" s="233"/>
      <c r="D56" s="233"/>
      <c r="E56" s="233"/>
      <c r="F56" s="233"/>
      <c r="G56" s="233"/>
      <c r="H56" s="232">
        <f t="shared" si="23"/>
        <v>0</v>
      </c>
      <c r="J56" s="233"/>
      <c r="K56" s="233">
        <v>1</v>
      </c>
      <c r="L56" s="233"/>
      <c r="M56" s="233"/>
      <c r="N56" s="233"/>
      <c r="O56" s="233"/>
      <c r="P56" s="232">
        <f t="shared" si="24"/>
        <v>1</v>
      </c>
      <c r="R56" s="233"/>
      <c r="S56" s="233">
        <v>0.5</v>
      </c>
      <c r="T56" s="233"/>
      <c r="U56" s="233"/>
      <c r="V56" s="233"/>
      <c r="W56" s="233"/>
      <c r="X56" s="232">
        <f t="shared" si="25"/>
        <v>0.5</v>
      </c>
      <c r="Z56" s="233"/>
      <c r="AA56" s="233">
        <v>0.5</v>
      </c>
      <c r="AB56" s="233"/>
      <c r="AC56" s="233"/>
      <c r="AD56" s="233"/>
      <c r="AE56" s="233"/>
      <c r="AF56" s="232">
        <f t="shared" si="26"/>
        <v>0.5</v>
      </c>
      <c r="AH56" s="233"/>
      <c r="AI56" s="233">
        <v>1</v>
      </c>
      <c r="AJ56" s="233"/>
      <c r="AK56" s="233"/>
      <c r="AL56" s="233"/>
      <c r="AM56" s="233"/>
      <c r="AN56" s="232">
        <f t="shared" si="27"/>
        <v>1</v>
      </c>
      <c r="AP56" s="233"/>
      <c r="AQ56" s="233"/>
      <c r="AR56" s="233"/>
      <c r="AS56" s="233"/>
      <c r="AT56" s="233"/>
      <c r="AU56" s="233"/>
      <c r="AV56" s="232">
        <f t="shared" si="28"/>
        <v>0</v>
      </c>
      <c r="AX56" s="233"/>
      <c r="AY56" s="233"/>
      <c r="AZ56" s="233"/>
      <c r="BA56" s="233"/>
      <c r="BB56" s="233"/>
      <c r="BC56" s="233"/>
      <c r="BD56" s="232">
        <f t="shared" si="29"/>
        <v>0</v>
      </c>
      <c r="BF56" s="233"/>
      <c r="BG56" s="233"/>
      <c r="BH56" s="233"/>
      <c r="BI56" s="233"/>
      <c r="BJ56" s="233"/>
      <c r="BK56" s="233"/>
      <c r="BL56" s="232">
        <f t="shared" si="30"/>
        <v>0</v>
      </c>
      <c r="BN56" s="229">
        <f t="shared" si="33"/>
        <v>0</v>
      </c>
      <c r="BO56" s="229">
        <f t="shared" si="33"/>
        <v>3</v>
      </c>
      <c r="BP56" s="229">
        <f t="shared" si="33"/>
        <v>0</v>
      </c>
      <c r="BQ56" s="229">
        <f t="shared" si="33"/>
        <v>0</v>
      </c>
      <c r="BR56" s="229">
        <f t="shared" si="33"/>
        <v>0</v>
      </c>
      <c r="BS56" s="229">
        <f t="shared" si="33"/>
        <v>0</v>
      </c>
      <c r="BT56" s="232">
        <f t="shared" si="34"/>
        <v>3</v>
      </c>
    </row>
    <row r="57" spans="1:72" x14ac:dyDescent="0.25">
      <c r="A57" s="194" t="s">
        <v>207</v>
      </c>
      <c r="B57" s="233"/>
      <c r="C57" s="233"/>
      <c r="D57" s="233"/>
      <c r="E57" s="233"/>
      <c r="F57" s="233"/>
      <c r="G57" s="233"/>
      <c r="H57" s="232">
        <f t="shared" si="23"/>
        <v>0</v>
      </c>
      <c r="J57" s="233"/>
      <c r="K57" s="233">
        <v>0</v>
      </c>
      <c r="L57" s="233"/>
      <c r="M57" s="233"/>
      <c r="N57" s="233"/>
      <c r="O57" s="233"/>
      <c r="P57" s="232">
        <f t="shared" si="24"/>
        <v>0</v>
      </c>
      <c r="R57" s="233"/>
      <c r="S57" s="233"/>
      <c r="T57" s="233"/>
      <c r="U57" s="233"/>
      <c r="V57" s="233"/>
      <c r="W57" s="233"/>
      <c r="X57" s="232">
        <f t="shared" si="25"/>
        <v>0</v>
      </c>
      <c r="Z57" s="233"/>
      <c r="AA57" s="233">
        <v>0.33</v>
      </c>
      <c r="AB57" s="233"/>
      <c r="AC57" s="233"/>
      <c r="AD57" s="233"/>
      <c r="AE57" s="233"/>
      <c r="AF57" s="232">
        <f t="shared" si="26"/>
        <v>0.33</v>
      </c>
      <c r="AH57" s="233"/>
      <c r="AI57" s="233">
        <v>0.5</v>
      </c>
      <c r="AJ57" s="233"/>
      <c r="AK57" s="233"/>
      <c r="AL57" s="233"/>
      <c r="AM57" s="233"/>
      <c r="AN57" s="232">
        <f t="shared" si="27"/>
        <v>0.5</v>
      </c>
      <c r="AP57" s="233"/>
      <c r="AQ57" s="233"/>
      <c r="AR57" s="233"/>
      <c r="AS57" s="233"/>
      <c r="AT57" s="233"/>
      <c r="AU57" s="233"/>
      <c r="AV57" s="232">
        <f t="shared" si="28"/>
        <v>0</v>
      </c>
      <c r="AX57" s="233"/>
      <c r="AY57" s="233"/>
      <c r="AZ57" s="233"/>
      <c r="BA57" s="233"/>
      <c r="BB57" s="233"/>
      <c r="BC57" s="233"/>
      <c r="BD57" s="232">
        <f t="shared" si="29"/>
        <v>0</v>
      </c>
      <c r="BF57" s="233"/>
      <c r="BG57" s="233"/>
      <c r="BH57" s="233"/>
      <c r="BI57" s="233"/>
      <c r="BJ57" s="233"/>
      <c r="BK57" s="233"/>
      <c r="BL57" s="232">
        <f t="shared" si="30"/>
        <v>0</v>
      </c>
      <c r="BN57" s="229">
        <f t="shared" si="33"/>
        <v>0</v>
      </c>
      <c r="BO57" s="229">
        <f t="shared" si="33"/>
        <v>0.83000000000000007</v>
      </c>
      <c r="BP57" s="229">
        <f t="shared" si="33"/>
        <v>0</v>
      </c>
      <c r="BQ57" s="229">
        <f t="shared" si="33"/>
        <v>0</v>
      </c>
      <c r="BR57" s="229">
        <f t="shared" si="33"/>
        <v>0</v>
      </c>
      <c r="BS57" s="229">
        <f t="shared" si="33"/>
        <v>0</v>
      </c>
      <c r="BT57" s="232">
        <f t="shared" si="34"/>
        <v>0.83000000000000007</v>
      </c>
    </row>
    <row r="58" spans="1:72" x14ac:dyDescent="0.25">
      <c r="A58" s="194" t="s">
        <v>208</v>
      </c>
      <c r="B58" s="233"/>
      <c r="C58" s="233"/>
      <c r="D58" s="233"/>
      <c r="E58" s="233"/>
      <c r="F58" s="233"/>
      <c r="G58" s="233"/>
      <c r="H58" s="232">
        <f t="shared" si="23"/>
        <v>0</v>
      </c>
      <c r="J58" s="233">
        <v>1</v>
      </c>
      <c r="K58" s="233"/>
      <c r="L58" s="233"/>
      <c r="M58" s="233"/>
      <c r="N58" s="233"/>
      <c r="O58" s="233"/>
      <c r="P58" s="232">
        <f t="shared" si="24"/>
        <v>1</v>
      </c>
      <c r="R58" s="233">
        <v>0.5</v>
      </c>
      <c r="S58" s="233"/>
      <c r="T58" s="233"/>
      <c r="U58" s="233"/>
      <c r="V58" s="233"/>
      <c r="W58" s="233"/>
      <c r="X58" s="232">
        <f t="shared" si="25"/>
        <v>0.5</v>
      </c>
      <c r="Z58" s="233">
        <v>0.5</v>
      </c>
      <c r="AA58" s="233"/>
      <c r="AB58" s="233"/>
      <c r="AC58" s="233"/>
      <c r="AD58" s="233"/>
      <c r="AE58" s="233"/>
      <c r="AF58" s="232">
        <f t="shared" si="26"/>
        <v>0.5</v>
      </c>
      <c r="AH58" s="233">
        <v>1</v>
      </c>
      <c r="AI58" s="233"/>
      <c r="AJ58" s="233"/>
      <c r="AK58" s="233"/>
      <c r="AL58" s="233"/>
      <c r="AM58" s="233"/>
      <c r="AN58" s="232">
        <f t="shared" si="27"/>
        <v>1</v>
      </c>
      <c r="AP58" s="233"/>
      <c r="AQ58" s="233"/>
      <c r="AR58" s="233"/>
      <c r="AS58" s="233"/>
      <c r="AT58" s="233"/>
      <c r="AU58" s="233"/>
      <c r="AV58" s="232">
        <f t="shared" si="28"/>
        <v>0</v>
      </c>
      <c r="AX58" s="233"/>
      <c r="AY58" s="233"/>
      <c r="AZ58" s="233"/>
      <c r="BA58" s="233"/>
      <c r="BB58" s="233"/>
      <c r="BC58" s="233"/>
      <c r="BD58" s="232">
        <f t="shared" si="29"/>
        <v>0</v>
      </c>
      <c r="BF58" s="233"/>
      <c r="BG58" s="233"/>
      <c r="BH58" s="233"/>
      <c r="BI58" s="233"/>
      <c r="BJ58" s="233"/>
      <c r="BK58" s="233"/>
      <c r="BL58" s="232">
        <f t="shared" si="30"/>
        <v>0</v>
      </c>
      <c r="BN58" s="229">
        <f t="shared" si="33"/>
        <v>3</v>
      </c>
      <c r="BO58" s="229">
        <f t="shared" si="33"/>
        <v>0</v>
      </c>
      <c r="BP58" s="229">
        <f t="shared" si="33"/>
        <v>0</v>
      </c>
      <c r="BQ58" s="229">
        <f t="shared" si="33"/>
        <v>0</v>
      </c>
      <c r="BR58" s="229">
        <f t="shared" si="33"/>
        <v>0</v>
      </c>
      <c r="BS58" s="229">
        <f t="shared" si="33"/>
        <v>0</v>
      </c>
      <c r="BT58" s="232">
        <f t="shared" si="34"/>
        <v>3</v>
      </c>
    </row>
    <row r="59" spans="1:72" x14ac:dyDescent="0.25">
      <c r="A59" s="194" t="s">
        <v>209</v>
      </c>
      <c r="B59" s="233">
        <v>1</v>
      </c>
      <c r="C59" s="233"/>
      <c r="D59" s="233"/>
      <c r="E59" s="233"/>
      <c r="F59" s="233"/>
      <c r="G59" s="233"/>
      <c r="H59" s="232">
        <f t="shared" si="23"/>
        <v>1</v>
      </c>
      <c r="J59" s="233">
        <v>3</v>
      </c>
      <c r="K59" s="233"/>
      <c r="L59" s="233"/>
      <c r="M59" s="233"/>
      <c r="N59" s="233"/>
      <c r="O59" s="233"/>
      <c r="P59" s="232">
        <f t="shared" si="24"/>
        <v>3</v>
      </c>
      <c r="R59" s="233">
        <v>1</v>
      </c>
      <c r="S59" s="233"/>
      <c r="T59" s="233"/>
      <c r="U59" s="233"/>
      <c r="V59" s="233"/>
      <c r="W59" s="233"/>
      <c r="X59" s="232">
        <f t="shared" si="25"/>
        <v>1</v>
      </c>
      <c r="Z59" s="233">
        <v>2</v>
      </c>
      <c r="AA59" s="233"/>
      <c r="AB59" s="233"/>
      <c r="AC59" s="233"/>
      <c r="AD59" s="233"/>
      <c r="AE59" s="233"/>
      <c r="AF59" s="232">
        <f t="shared" si="26"/>
        <v>2</v>
      </c>
      <c r="AH59" s="233">
        <v>4</v>
      </c>
      <c r="AI59" s="233"/>
      <c r="AJ59" s="233"/>
      <c r="AK59" s="233"/>
      <c r="AL59" s="233"/>
      <c r="AM59" s="233"/>
      <c r="AN59" s="232">
        <f t="shared" si="27"/>
        <v>4</v>
      </c>
      <c r="AP59" s="233">
        <v>0</v>
      </c>
      <c r="AQ59" s="233"/>
      <c r="AR59" s="233"/>
      <c r="AS59" s="233"/>
      <c r="AT59" s="233"/>
      <c r="AU59" s="233"/>
      <c r="AV59" s="232">
        <f t="shared" si="28"/>
        <v>0</v>
      </c>
      <c r="AX59" s="233">
        <v>0</v>
      </c>
      <c r="AY59" s="233"/>
      <c r="AZ59" s="233"/>
      <c r="BA59" s="233"/>
      <c r="BB59" s="233"/>
      <c r="BC59" s="233"/>
      <c r="BD59" s="232">
        <f t="shared" si="29"/>
        <v>0</v>
      </c>
      <c r="BF59" s="233"/>
      <c r="BG59" s="233"/>
      <c r="BH59" s="233"/>
      <c r="BI59" s="233"/>
      <c r="BJ59" s="233"/>
      <c r="BK59" s="233"/>
      <c r="BL59" s="232">
        <f t="shared" si="30"/>
        <v>0</v>
      </c>
      <c r="BN59" s="229">
        <f t="shared" si="33"/>
        <v>11</v>
      </c>
      <c r="BO59" s="229">
        <f t="shared" si="33"/>
        <v>0</v>
      </c>
      <c r="BP59" s="229">
        <f t="shared" si="33"/>
        <v>0</v>
      </c>
      <c r="BQ59" s="229">
        <f t="shared" si="33"/>
        <v>0</v>
      </c>
      <c r="BR59" s="229">
        <f t="shared" si="33"/>
        <v>0</v>
      </c>
      <c r="BS59" s="229">
        <f t="shared" si="33"/>
        <v>0</v>
      </c>
      <c r="BT59" s="232">
        <f t="shared" si="34"/>
        <v>11</v>
      </c>
    </row>
    <row r="60" spans="1:72" x14ac:dyDescent="0.25">
      <c r="A60" s="191" t="s">
        <v>210</v>
      </c>
      <c r="B60" s="232"/>
      <c r="C60" s="232"/>
      <c r="D60" s="232"/>
      <c r="E60" s="232"/>
      <c r="F60" s="232"/>
      <c r="G60" s="232"/>
      <c r="H60" s="232">
        <f t="shared" si="23"/>
        <v>0</v>
      </c>
      <c r="J60" s="232">
        <v>1</v>
      </c>
      <c r="K60" s="232"/>
      <c r="L60" s="232"/>
      <c r="M60" s="232"/>
      <c r="N60" s="232"/>
      <c r="O60" s="232"/>
      <c r="P60" s="232">
        <f t="shared" si="24"/>
        <v>1</v>
      </c>
      <c r="R60" s="232"/>
      <c r="S60" s="232"/>
      <c r="T60" s="232"/>
      <c r="U60" s="232"/>
      <c r="V60" s="232"/>
      <c r="W60" s="232"/>
      <c r="X60" s="232">
        <f t="shared" si="25"/>
        <v>0</v>
      </c>
      <c r="Z60" s="232">
        <v>1</v>
      </c>
      <c r="AA60" s="232"/>
      <c r="AB60" s="232"/>
      <c r="AC60" s="232"/>
      <c r="AD60" s="232"/>
      <c r="AE60" s="232"/>
      <c r="AF60" s="232">
        <f t="shared" si="26"/>
        <v>1</v>
      </c>
      <c r="AH60" s="233">
        <v>1</v>
      </c>
      <c r="AI60" s="232"/>
      <c r="AJ60" s="232"/>
      <c r="AK60" s="232"/>
      <c r="AL60" s="232"/>
      <c r="AM60" s="232"/>
      <c r="AN60" s="232">
        <f t="shared" si="27"/>
        <v>1</v>
      </c>
      <c r="AP60" s="232">
        <v>0</v>
      </c>
      <c r="AQ60" s="232"/>
      <c r="AR60" s="232"/>
      <c r="AS60" s="232"/>
      <c r="AT60" s="232"/>
      <c r="AU60" s="232"/>
      <c r="AV60" s="232">
        <f t="shared" si="28"/>
        <v>0</v>
      </c>
      <c r="AX60" s="232">
        <v>0</v>
      </c>
      <c r="AY60" s="232"/>
      <c r="AZ60" s="232"/>
      <c r="BA60" s="232"/>
      <c r="BB60" s="232"/>
      <c r="BC60" s="232"/>
      <c r="BD60" s="232">
        <f t="shared" si="29"/>
        <v>0</v>
      </c>
      <c r="BF60" s="232"/>
      <c r="BG60" s="232"/>
      <c r="BH60" s="232"/>
      <c r="BI60" s="232"/>
      <c r="BJ60" s="232"/>
      <c r="BK60" s="232"/>
      <c r="BL60" s="232">
        <f t="shared" si="30"/>
        <v>0</v>
      </c>
      <c r="BN60" s="229">
        <f t="shared" si="33"/>
        <v>3</v>
      </c>
      <c r="BO60" s="229">
        <f t="shared" si="33"/>
        <v>0</v>
      </c>
      <c r="BP60" s="229">
        <f t="shared" si="33"/>
        <v>0</v>
      </c>
      <c r="BQ60" s="229">
        <f t="shared" si="33"/>
        <v>0</v>
      </c>
      <c r="BR60" s="229">
        <f t="shared" si="33"/>
        <v>0</v>
      </c>
      <c r="BS60" s="229">
        <f t="shared" si="33"/>
        <v>0</v>
      </c>
      <c r="BT60" s="232">
        <f t="shared" si="34"/>
        <v>3</v>
      </c>
    </row>
    <row r="61" spans="1:72" x14ac:dyDescent="0.25">
      <c r="A61" s="189" t="s">
        <v>211</v>
      </c>
      <c r="B61" s="234">
        <f t="shared" ref="B61:H61" si="35">SUM(B39:B60)</f>
        <v>17</v>
      </c>
      <c r="C61" s="234">
        <f t="shared" si="35"/>
        <v>6</v>
      </c>
      <c r="D61" s="234">
        <f t="shared" si="35"/>
        <v>2</v>
      </c>
      <c r="E61" s="234">
        <f t="shared" si="35"/>
        <v>0</v>
      </c>
      <c r="F61" s="234">
        <f t="shared" si="35"/>
        <v>1</v>
      </c>
      <c r="G61" s="234">
        <f t="shared" si="35"/>
        <v>0</v>
      </c>
      <c r="H61" s="234">
        <f t="shared" si="35"/>
        <v>26</v>
      </c>
      <c r="J61" s="234">
        <f t="shared" ref="J61:P61" si="36">SUM(J39:J60)</f>
        <v>55</v>
      </c>
      <c r="K61" s="234">
        <f t="shared" si="36"/>
        <v>15</v>
      </c>
      <c r="L61" s="234">
        <f t="shared" si="36"/>
        <v>6</v>
      </c>
      <c r="M61" s="234">
        <f t="shared" si="36"/>
        <v>0</v>
      </c>
      <c r="N61" s="234">
        <f t="shared" si="36"/>
        <v>0</v>
      </c>
      <c r="O61" s="234">
        <f t="shared" si="36"/>
        <v>0</v>
      </c>
      <c r="P61" s="234">
        <f t="shared" si="36"/>
        <v>76</v>
      </c>
      <c r="R61" s="234">
        <f t="shared" ref="R61:X61" si="37">SUM(R39:R60)</f>
        <v>21.5</v>
      </c>
      <c r="S61" s="234">
        <f t="shared" si="37"/>
        <v>5.5</v>
      </c>
      <c r="T61" s="234">
        <f t="shared" si="37"/>
        <v>2</v>
      </c>
      <c r="U61" s="234">
        <f t="shared" si="37"/>
        <v>0</v>
      </c>
      <c r="V61" s="234">
        <f t="shared" si="37"/>
        <v>0</v>
      </c>
      <c r="W61" s="234">
        <f t="shared" si="37"/>
        <v>0</v>
      </c>
      <c r="X61" s="234">
        <f t="shared" si="37"/>
        <v>29</v>
      </c>
      <c r="Z61" s="234">
        <f t="shared" ref="Z61:AF61" si="38">SUM(Z39:Z60)</f>
        <v>21.5</v>
      </c>
      <c r="AA61" s="234">
        <f t="shared" si="38"/>
        <v>7.83</v>
      </c>
      <c r="AB61" s="234">
        <f t="shared" si="38"/>
        <v>2</v>
      </c>
      <c r="AC61" s="234">
        <f t="shared" si="38"/>
        <v>0</v>
      </c>
      <c r="AD61" s="234">
        <f t="shared" si="38"/>
        <v>0</v>
      </c>
      <c r="AE61" s="234">
        <f t="shared" si="38"/>
        <v>0</v>
      </c>
      <c r="AF61" s="234">
        <f t="shared" si="38"/>
        <v>31.33</v>
      </c>
      <c r="AH61" s="234">
        <f t="shared" ref="AH61:AN61" si="39">SUM(AH39:AH60)</f>
        <v>43</v>
      </c>
      <c r="AI61" s="234">
        <f t="shared" si="39"/>
        <v>13.5</v>
      </c>
      <c r="AJ61" s="234">
        <f t="shared" si="39"/>
        <v>4</v>
      </c>
      <c r="AK61" s="234">
        <f t="shared" si="39"/>
        <v>0</v>
      </c>
      <c r="AL61" s="234">
        <f t="shared" si="39"/>
        <v>0</v>
      </c>
      <c r="AM61" s="234">
        <f t="shared" si="39"/>
        <v>0</v>
      </c>
      <c r="AN61" s="234">
        <f t="shared" si="39"/>
        <v>60.5</v>
      </c>
      <c r="AP61" s="234">
        <f t="shared" ref="AP61:AV61" si="40">SUM(AP39:AP60)</f>
        <v>12</v>
      </c>
      <c r="AQ61" s="234">
        <f t="shared" si="40"/>
        <v>5</v>
      </c>
      <c r="AR61" s="234">
        <f t="shared" si="40"/>
        <v>1</v>
      </c>
      <c r="AS61" s="234">
        <f t="shared" si="40"/>
        <v>0</v>
      </c>
      <c r="AT61" s="234">
        <f t="shared" si="40"/>
        <v>4</v>
      </c>
      <c r="AU61" s="234">
        <f t="shared" si="40"/>
        <v>0</v>
      </c>
      <c r="AV61" s="234">
        <f t="shared" si="40"/>
        <v>22</v>
      </c>
      <c r="AX61" s="234">
        <f t="shared" ref="AX61:BD61" si="41">SUM(AX39:AX60)</f>
        <v>4</v>
      </c>
      <c r="AY61" s="234">
        <f t="shared" si="41"/>
        <v>1</v>
      </c>
      <c r="AZ61" s="234">
        <f t="shared" si="41"/>
        <v>0</v>
      </c>
      <c r="BA61" s="234">
        <f t="shared" si="41"/>
        <v>0</v>
      </c>
      <c r="BB61" s="234">
        <f t="shared" si="41"/>
        <v>1</v>
      </c>
      <c r="BC61" s="234">
        <f t="shared" si="41"/>
        <v>0</v>
      </c>
      <c r="BD61" s="234">
        <f t="shared" si="41"/>
        <v>6</v>
      </c>
      <c r="BF61" s="234">
        <f t="shared" ref="BF61:BL61" si="42">SUM(BF39:BF60)</f>
        <v>3</v>
      </c>
      <c r="BG61" s="234">
        <f t="shared" si="42"/>
        <v>0</v>
      </c>
      <c r="BH61" s="234">
        <f t="shared" si="42"/>
        <v>1</v>
      </c>
      <c r="BI61" s="234">
        <f t="shared" si="42"/>
        <v>0</v>
      </c>
      <c r="BJ61" s="234">
        <f t="shared" si="42"/>
        <v>1</v>
      </c>
      <c r="BK61" s="234">
        <f t="shared" si="42"/>
        <v>0</v>
      </c>
      <c r="BL61" s="234">
        <f t="shared" si="42"/>
        <v>5</v>
      </c>
      <c r="BN61" s="234">
        <f t="shared" ref="BN61:BT61" si="43">SUM(BN39:BN60)</f>
        <v>177</v>
      </c>
      <c r="BO61" s="234">
        <f t="shared" si="43"/>
        <v>53.83</v>
      </c>
      <c r="BP61" s="234">
        <f t="shared" si="43"/>
        <v>18</v>
      </c>
      <c r="BQ61" s="234">
        <f t="shared" si="43"/>
        <v>0</v>
      </c>
      <c r="BR61" s="234">
        <f t="shared" si="43"/>
        <v>7</v>
      </c>
      <c r="BS61" s="234">
        <f t="shared" si="43"/>
        <v>0</v>
      </c>
      <c r="BT61" s="234">
        <f t="shared" si="43"/>
        <v>255.83</v>
      </c>
    </row>
    <row r="62" spans="1:72" ht="16.5" thickBot="1" x14ac:dyDescent="0.3">
      <c r="A62" s="195"/>
      <c r="B62" s="235"/>
      <c r="C62" s="235"/>
      <c r="D62" s="235"/>
      <c r="E62" s="235"/>
      <c r="F62" s="235"/>
      <c r="G62" s="235"/>
      <c r="H62" s="235"/>
      <c r="J62" s="235"/>
      <c r="K62" s="235"/>
      <c r="L62" s="235"/>
      <c r="M62" s="235"/>
      <c r="N62" s="235"/>
      <c r="O62" s="235"/>
      <c r="P62" s="235"/>
      <c r="R62" s="235"/>
      <c r="S62" s="235"/>
      <c r="T62" s="235"/>
      <c r="U62" s="235"/>
      <c r="V62" s="235"/>
      <c r="W62" s="235"/>
      <c r="X62" s="235"/>
      <c r="Z62" s="235"/>
      <c r="AA62" s="235"/>
      <c r="AB62" s="235"/>
      <c r="AC62" s="235"/>
      <c r="AD62" s="235"/>
      <c r="AE62" s="235"/>
      <c r="AF62" s="235"/>
      <c r="AH62" s="235"/>
      <c r="AI62" s="235"/>
      <c r="AJ62" s="235"/>
      <c r="AK62" s="235"/>
      <c r="AL62" s="235"/>
      <c r="AM62" s="235"/>
      <c r="AN62" s="235"/>
      <c r="AP62" s="235"/>
      <c r="AQ62" s="235"/>
      <c r="AR62" s="235"/>
      <c r="AS62" s="235"/>
      <c r="AT62" s="235"/>
      <c r="AU62" s="235"/>
      <c r="AV62" s="235"/>
      <c r="AX62" s="235"/>
      <c r="AY62" s="235"/>
      <c r="AZ62" s="235"/>
      <c r="BA62" s="235"/>
      <c r="BB62" s="235"/>
      <c r="BC62" s="235"/>
      <c r="BD62" s="235"/>
      <c r="BF62" s="235"/>
      <c r="BG62" s="235"/>
      <c r="BH62" s="235"/>
      <c r="BI62" s="235"/>
      <c r="BJ62" s="235"/>
      <c r="BK62" s="235"/>
      <c r="BL62" s="235"/>
      <c r="BN62" s="235"/>
      <c r="BO62" s="235"/>
      <c r="BP62" s="235"/>
      <c r="BQ62" s="235"/>
      <c r="BR62" s="235"/>
      <c r="BS62" s="235"/>
      <c r="BT62" s="235"/>
    </row>
    <row r="63" spans="1:72" x14ac:dyDescent="0.25">
      <c r="A63" s="196" t="s">
        <v>212</v>
      </c>
      <c r="B63" s="236">
        <f>B36+B41+B43+B50</f>
        <v>47</v>
      </c>
      <c r="C63" s="236">
        <f>C36+C41+C43+C50</f>
        <v>9</v>
      </c>
      <c r="D63" s="236">
        <f t="shared" ref="D63:G63" si="44">D36+D41+D43+D50</f>
        <v>0</v>
      </c>
      <c r="E63" s="236">
        <f t="shared" si="44"/>
        <v>0</v>
      </c>
      <c r="F63" s="236">
        <f t="shared" si="44"/>
        <v>1</v>
      </c>
      <c r="G63" s="236">
        <f t="shared" si="44"/>
        <v>0</v>
      </c>
      <c r="H63" s="236">
        <f t="shared" ref="H63" si="45">H36</f>
        <v>47</v>
      </c>
      <c r="J63" s="236">
        <f>J36+J41+J43+J50</f>
        <v>115</v>
      </c>
      <c r="K63" s="236">
        <f>K36+K41+K43+K50</f>
        <v>25</v>
      </c>
      <c r="L63" s="236">
        <f t="shared" ref="L63:O63" si="46">L36+L41+L43+L50</f>
        <v>0</v>
      </c>
      <c r="M63" s="236">
        <f t="shared" si="46"/>
        <v>0</v>
      </c>
      <c r="N63" s="236">
        <f t="shared" si="46"/>
        <v>0</v>
      </c>
      <c r="O63" s="236">
        <f t="shared" si="46"/>
        <v>0</v>
      </c>
      <c r="P63" s="236">
        <f t="shared" ref="P63" si="47">P36</f>
        <v>114</v>
      </c>
      <c r="R63" s="236">
        <f>R36+R41+R43+R50</f>
        <v>51</v>
      </c>
      <c r="S63" s="236">
        <f>S36+S41+S43+S50</f>
        <v>8</v>
      </c>
      <c r="T63" s="236">
        <f t="shared" ref="T63:W63" si="48">T36+T41+T43+T50</f>
        <v>0</v>
      </c>
      <c r="U63" s="236">
        <f t="shared" si="48"/>
        <v>0</v>
      </c>
      <c r="V63" s="236">
        <f t="shared" si="48"/>
        <v>0</v>
      </c>
      <c r="W63" s="236">
        <f t="shared" si="48"/>
        <v>0</v>
      </c>
      <c r="X63" s="236">
        <f t="shared" ref="X63" si="49">X36</f>
        <v>48</v>
      </c>
      <c r="Z63" s="236">
        <f>Z36+Z41+Z43+Z50</f>
        <v>64</v>
      </c>
      <c r="AA63" s="236">
        <f>AA36+AA41+AA43+AA50</f>
        <v>10</v>
      </c>
      <c r="AB63" s="236">
        <f t="shared" ref="AB63:AE63" si="50">AB36+AB41+AB43+AB50</f>
        <v>0</v>
      </c>
      <c r="AC63" s="236">
        <f t="shared" si="50"/>
        <v>0</v>
      </c>
      <c r="AD63" s="236">
        <f t="shared" si="50"/>
        <v>0</v>
      </c>
      <c r="AE63" s="236">
        <f t="shared" si="50"/>
        <v>0</v>
      </c>
      <c r="AF63" s="236">
        <f t="shared" ref="AF63" si="51">AF36</f>
        <v>61</v>
      </c>
      <c r="AH63" s="236">
        <f>AH36+AH41+AH43+AH50</f>
        <v>108</v>
      </c>
      <c r="AI63" s="236">
        <f>AI36+AI41+AI43+AI50</f>
        <v>25</v>
      </c>
      <c r="AJ63" s="236">
        <f t="shared" ref="AJ63:AM63" si="52">AJ36+AJ41+AJ43+AJ50</f>
        <v>0</v>
      </c>
      <c r="AK63" s="236">
        <f t="shared" si="52"/>
        <v>0</v>
      </c>
      <c r="AL63" s="236">
        <f t="shared" si="52"/>
        <v>0</v>
      </c>
      <c r="AM63" s="236">
        <f t="shared" si="52"/>
        <v>0</v>
      </c>
      <c r="AN63" s="236">
        <f t="shared" ref="AN63" si="53">AN36</f>
        <v>114</v>
      </c>
      <c r="AP63" s="236">
        <f>AP36+AP41+AP43+AP50</f>
        <v>41</v>
      </c>
      <c r="AQ63" s="236">
        <f>AQ36+AQ41+AQ43+AQ50</f>
        <v>8</v>
      </c>
      <c r="AR63" s="236">
        <f t="shared" ref="AR63:AU63" si="54">AR36+AR41+AR43+AR50</f>
        <v>0</v>
      </c>
      <c r="AS63" s="236">
        <f t="shared" si="54"/>
        <v>0</v>
      </c>
      <c r="AT63" s="236">
        <f t="shared" si="54"/>
        <v>4</v>
      </c>
      <c r="AU63" s="236">
        <f t="shared" si="54"/>
        <v>0</v>
      </c>
      <c r="AV63" s="236">
        <f t="shared" ref="AV63" si="55">AV36</f>
        <v>42</v>
      </c>
      <c r="AX63" s="236">
        <f>AX36+AX41+AX43+AX50</f>
        <v>4</v>
      </c>
      <c r="AY63" s="236">
        <f>AY36+AY41+AY43+AY50</f>
        <v>2</v>
      </c>
      <c r="AZ63" s="236">
        <f t="shared" ref="AZ63:BC63" si="56">AZ36+AZ41+AZ43+AZ50</f>
        <v>0</v>
      </c>
      <c r="BA63" s="236">
        <f t="shared" si="56"/>
        <v>0</v>
      </c>
      <c r="BB63" s="236">
        <f t="shared" si="56"/>
        <v>1</v>
      </c>
      <c r="BC63" s="236">
        <f t="shared" si="56"/>
        <v>0</v>
      </c>
      <c r="BD63" s="236">
        <f t="shared" ref="BD63" si="57">BD36</f>
        <v>1</v>
      </c>
      <c r="BF63" s="236">
        <f>BF36+BF41+BF43+BF50</f>
        <v>1</v>
      </c>
      <c r="BG63" s="236">
        <f>BG36+BG41+BG43+BG50</f>
        <v>0</v>
      </c>
      <c r="BH63" s="236">
        <f t="shared" ref="BH63:BK63" si="58">BH36+BH41+BH43+BH50</f>
        <v>0</v>
      </c>
      <c r="BI63" s="236">
        <f t="shared" si="58"/>
        <v>0</v>
      </c>
      <c r="BJ63" s="236">
        <f t="shared" si="58"/>
        <v>1</v>
      </c>
      <c r="BK63" s="236">
        <f t="shared" si="58"/>
        <v>0</v>
      </c>
      <c r="BL63" s="236">
        <f t="shared" ref="BL63" si="59">BL36</f>
        <v>1</v>
      </c>
      <c r="BN63" s="236">
        <f>BN36+BN41+BN43+BN50</f>
        <v>431</v>
      </c>
      <c r="BO63" s="236">
        <f>BO36+BO41+BO43+BO50</f>
        <v>87</v>
      </c>
      <c r="BP63" s="236">
        <f t="shared" ref="BP63:BS63" si="60">BP36+BP41+BP43+BP50</f>
        <v>0</v>
      </c>
      <c r="BQ63" s="236">
        <f t="shared" si="60"/>
        <v>0</v>
      </c>
      <c r="BR63" s="236">
        <f t="shared" si="60"/>
        <v>7</v>
      </c>
      <c r="BS63" s="236">
        <f t="shared" si="60"/>
        <v>0</v>
      </c>
      <c r="BT63" s="236">
        <f t="shared" ref="BT63" si="61">BT36</f>
        <v>428</v>
      </c>
    </row>
    <row r="64" spans="1:72" x14ac:dyDescent="0.25">
      <c r="A64" s="197" t="s">
        <v>213</v>
      </c>
      <c r="B64" s="237">
        <f>B61-B41-B43-B50</f>
        <v>12</v>
      </c>
      <c r="C64" s="237">
        <f t="shared" ref="C64:G64" si="62">C61-C41-C43-C50</f>
        <v>2</v>
      </c>
      <c r="D64" s="237">
        <f t="shared" si="62"/>
        <v>2</v>
      </c>
      <c r="E64" s="237">
        <f t="shared" si="62"/>
        <v>0</v>
      </c>
      <c r="F64" s="237">
        <f t="shared" si="62"/>
        <v>0</v>
      </c>
      <c r="G64" s="237">
        <f t="shared" si="62"/>
        <v>0</v>
      </c>
      <c r="H64" s="237">
        <f t="shared" ref="H64" si="63">H61</f>
        <v>26</v>
      </c>
      <c r="J64" s="237">
        <f>J61-J41-J43-J50</f>
        <v>41</v>
      </c>
      <c r="K64" s="237">
        <f t="shared" ref="K64:O64" si="64">K61-K41-K43-K50</f>
        <v>3</v>
      </c>
      <c r="L64" s="237">
        <f t="shared" si="64"/>
        <v>6</v>
      </c>
      <c r="M64" s="237">
        <f t="shared" si="64"/>
        <v>0</v>
      </c>
      <c r="N64" s="237">
        <f t="shared" si="64"/>
        <v>0</v>
      </c>
      <c r="O64" s="237">
        <f t="shared" si="64"/>
        <v>0</v>
      </c>
      <c r="P64" s="237">
        <f t="shared" ref="P64" si="65">P61</f>
        <v>76</v>
      </c>
      <c r="R64" s="237">
        <f>R61-R41-R43-R50</f>
        <v>14.5</v>
      </c>
      <c r="S64" s="237">
        <f t="shared" ref="S64:W64" si="66">S61-S41-S43-S50</f>
        <v>1.5</v>
      </c>
      <c r="T64" s="237">
        <f t="shared" si="66"/>
        <v>2</v>
      </c>
      <c r="U64" s="237">
        <f t="shared" si="66"/>
        <v>0</v>
      </c>
      <c r="V64" s="237">
        <f t="shared" si="66"/>
        <v>0</v>
      </c>
      <c r="W64" s="237">
        <f t="shared" si="66"/>
        <v>0</v>
      </c>
      <c r="X64" s="237">
        <f t="shared" ref="X64" si="67">X61</f>
        <v>29</v>
      </c>
      <c r="Z64" s="237">
        <f>Z61-Z41-Z43-Z50</f>
        <v>13.5</v>
      </c>
      <c r="AA64" s="237">
        <f t="shared" ref="AA64:AE64" si="68">AA61-AA41-AA43-AA50</f>
        <v>2.83</v>
      </c>
      <c r="AB64" s="237">
        <f t="shared" si="68"/>
        <v>2</v>
      </c>
      <c r="AC64" s="237">
        <f t="shared" si="68"/>
        <v>0</v>
      </c>
      <c r="AD64" s="237">
        <f t="shared" si="68"/>
        <v>0</v>
      </c>
      <c r="AE64" s="237">
        <f t="shared" si="68"/>
        <v>0</v>
      </c>
      <c r="AF64" s="237">
        <f t="shared" ref="AF64" si="69">AF61</f>
        <v>31.33</v>
      </c>
      <c r="AH64" s="237">
        <f>AH61-AH41-AH43-AH50</f>
        <v>36</v>
      </c>
      <c r="AI64" s="237">
        <f t="shared" ref="AI64:AM64" si="70">AI61-AI41-AI43-AI50</f>
        <v>1.5</v>
      </c>
      <c r="AJ64" s="237">
        <f t="shared" si="70"/>
        <v>4</v>
      </c>
      <c r="AK64" s="237">
        <f t="shared" si="70"/>
        <v>0</v>
      </c>
      <c r="AL64" s="237">
        <f t="shared" si="70"/>
        <v>0</v>
      </c>
      <c r="AM64" s="237">
        <f t="shared" si="70"/>
        <v>0</v>
      </c>
      <c r="AN64" s="237">
        <f t="shared" ref="AN64" si="71">AN61</f>
        <v>60.5</v>
      </c>
      <c r="AP64" s="237">
        <f>AP61-AP41-AP43-AP50</f>
        <v>9</v>
      </c>
      <c r="AQ64" s="237">
        <f t="shared" ref="AQ64:AU64" si="72">AQ61-AQ41-AQ43-AQ50</f>
        <v>1</v>
      </c>
      <c r="AR64" s="237">
        <f t="shared" si="72"/>
        <v>1</v>
      </c>
      <c r="AS64" s="237">
        <f t="shared" si="72"/>
        <v>0</v>
      </c>
      <c r="AT64" s="237">
        <f t="shared" si="72"/>
        <v>0</v>
      </c>
      <c r="AU64" s="237">
        <f t="shared" si="72"/>
        <v>0</v>
      </c>
      <c r="AV64" s="237">
        <f t="shared" ref="AV64" si="73">AV61</f>
        <v>22</v>
      </c>
      <c r="AX64" s="237">
        <f>AX61-AX41-AX43-AX50</f>
        <v>0</v>
      </c>
      <c r="AY64" s="237">
        <f t="shared" ref="AY64:BC64" si="74">AY61-AY41-AY43-AY50</f>
        <v>0</v>
      </c>
      <c r="AZ64" s="237">
        <f t="shared" si="74"/>
        <v>0</v>
      </c>
      <c r="BA64" s="237">
        <f t="shared" si="74"/>
        <v>0</v>
      </c>
      <c r="BB64" s="237">
        <f t="shared" si="74"/>
        <v>0</v>
      </c>
      <c r="BC64" s="237">
        <f t="shared" si="74"/>
        <v>0</v>
      </c>
      <c r="BD64" s="237">
        <f t="shared" ref="BD64" si="75">BD61</f>
        <v>6</v>
      </c>
      <c r="BF64" s="237">
        <f>BF61-BF41-BF43-BF50</f>
        <v>3</v>
      </c>
      <c r="BG64" s="237">
        <f t="shared" ref="BG64:BK64" si="76">BG61-BG41-BG43-BG50</f>
        <v>0</v>
      </c>
      <c r="BH64" s="237">
        <f t="shared" si="76"/>
        <v>1</v>
      </c>
      <c r="BI64" s="237">
        <f t="shared" si="76"/>
        <v>0</v>
      </c>
      <c r="BJ64" s="237">
        <f t="shared" si="76"/>
        <v>0</v>
      </c>
      <c r="BK64" s="237">
        <f t="shared" si="76"/>
        <v>0</v>
      </c>
      <c r="BL64" s="237">
        <f t="shared" ref="BL64" si="77">BL61</f>
        <v>5</v>
      </c>
      <c r="BN64" s="237">
        <f>BN61-BN41-BN43-BN50</f>
        <v>129</v>
      </c>
      <c r="BO64" s="237">
        <f t="shared" ref="BO64:BS64" si="78">BO61-BO41-BO43-BO50</f>
        <v>11.829999999999998</v>
      </c>
      <c r="BP64" s="237">
        <f t="shared" si="78"/>
        <v>18</v>
      </c>
      <c r="BQ64" s="237">
        <f t="shared" si="78"/>
        <v>0</v>
      </c>
      <c r="BR64" s="237">
        <f t="shared" si="78"/>
        <v>0</v>
      </c>
      <c r="BS64" s="237">
        <f t="shared" si="78"/>
        <v>0</v>
      </c>
      <c r="BT64" s="237">
        <f t="shared" ref="BT64" si="79">BT61</f>
        <v>255.83</v>
      </c>
    </row>
    <row r="65" spans="1:72" ht="16.5" thickBot="1" x14ac:dyDescent="0.3">
      <c r="A65" s="198" t="s">
        <v>214</v>
      </c>
      <c r="B65" s="238">
        <f>SUM(B63:B64)</f>
        <v>59</v>
      </c>
      <c r="C65" s="238">
        <f t="shared" ref="C65:G65" si="80">SUM(C63:C64)</f>
        <v>11</v>
      </c>
      <c r="D65" s="238">
        <f t="shared" si="80"/>
        <v>2</v>
      </c>
      <c r="E65" s="238">
        <f t="shared" si="80"/>
        <v>0</v>
      </c>
      <c r="F65" s="238">
        <f t="shared" si="80"/>
        <v>1</v>
      </c>
      <c r="G65" s="238">
        <f t="shared" si="80"/>
        <v>0</v>
      </c>
      <c r="H65" s="238">
        <f>SUM(H63:H64)</f>
        <v>73</v>
      </c>
      <c r="J65" s="238">
        <f>SUM(J63:J64)</f>
        <v>156</v>
      </c>
      <c r="K65" s="238">
        <f t="shared" ref="K65:O65" si="81">SUM(K63:K64)</f>
        <v>28</v>
      </c>
      <c r="L65" s="238">
        <f t="shared" si="81"/>
        <v>6</v>
      </c>
      <c r="M65" s="238">
        <f t="shared" si="81"/>
        <v>0</v>
      </c>
      <c r="N65" s="238">
        <f t="shared" si="81"/>
        <v>0</v>
      </c>
      <c r="O65" s="238">
        <f t="shared" si="81"/>
        <v>0</v>
      </c>
      <c r="P65" s="238">
        <f>SUM(P63:P64)</f>
        <v>190</v>
      </c>
      <c r="R65" s="238">
        <f>SUM(R63:R64)</f>
        <v>65.5</v>
      </c>
      <c r="S65" s="238">
        <f t="shared" ref="S65:W65" si="82">SUM(S63:S64)</f>
        <v>9.5</v>
      </c>
      <c r="T65" s="238">
        <f t="shared" si="82"/>
        <v>2</v>
      </c>
      <c r="U65" s="238">
        <f t="shared" si="82"/>
        <v>0</v>
      </c>
      <c r="V65" s="238">
        <f t="shared" si="82"/>
        <v>0</v>
      </c>
      <c r="W65" s="238">
        <f t="shared" si="82"/>
        <v>0</v>
      </c>
      <c r="X65" s="238">
        <f>SUM(X63:X64)</f>
        <v>77</v>
      </c>
      <c r="Z65" s="238">
        <f>SUM(Z63:Z64)</f>
        <v>77.5</v>
      </c>
      <c r="AA65" s="238">
        <f t="shared" ref="AA65:AE65" si="83">SUM(AA63:AA64)</f>
        <v>12.83</v>
      </c>
      <c r="AB65" s="238">
        <f t="shared" si="83"/>
        <v>2</v>
      </c>
      <c r="AC65" s="238">
        <f t="shared" si="83"/>
        <v>0</v>
      </c>
      <c r="AD65" s="238">
        <f t="shared" si="83"/>
        <v>0</v>
      </c>
      <c r="AE65" s="238">
        <f t="shared" si="83"/>
        <v>0</v>
      </c>
      <c r="AF65" s="238">
        <f>SUM(AF63:AF64)</f>
        <v>92.33</v>
      </c>
      <c r="AH65" s="238">
        <f>SUM(AH63:AH64)</f>
        <v>144</v>
      </c>
      <c r="AI65" s="238">
        <f t="shared" ref="AI65:AM65" si="84">SUM(AI63:AI64)</f>
        <v>26.5</v>
      </c>
      <c r="AJ65" s="238">
        <f t="shared" si="84"/>
        <v>4</v>
      </c>
      <c r="AK65" s="238">
        <f t="shared" si="84"/>
        <v>0</v>
      </c>
      <c r="AL65" s="238">
        <f t="shared" si="84"/>
        <v>0</v>
      </c>
      <c r="AM65" s="238">
        <f t="shared" si="84"/>
        <v>0</v>
      </c>
      <c r="AN65" s="238">
        <f>SUM(AN63:AN64)</f>
        <v>174.5</v>
      </c>
      <c r="AP65" s="238">
        <f>SUM(AP63:AP64)</f>
        <v>50</v>
      </c>
      <c r="AQ65" s="238">
        <f t="shared" ref="AQ65:AU65" si="85">SUM(AQ63:AQ64)</f>
        <v>9</v>
      </c>
      <c r="AR65" s="238">
        <f t="shared" si="85"/>
        <v>1</v>
      </c>
      <c r="AS65" s="238">
        <f t="shared" si="85"/>
        <v>0</v>
      </c>
      <c r="AT65" s="238">
        <f t="shared" si="85"/>
        <v>4</v>
      </c>
      <c r="AU65" s="238">
        <f t="shared" si="85"/>
        <v>0</v>
      </c>
      <c r="AV65" s="238">
        <f>SUM(AV63:AV64)</f>
        <v>64</v>
      </c>
      <c r="AX65" s="238">
        <f>SUM(AX63:AX64)</f>
        <v>4</v>
      </c>
      <c r="AY65" s="238">
        <f t="shared" ref="AY65:BC65" si="86">SUM(AY63:AY64)</f>
        <v>2</v>
      </c>
      <c r="AZ65" s="238">
        <f t="shared" si="86"/>
        <v>0</v>
      </c>
      <c r="BA65" s="238">
        <f t="shared" si="86"/>
        <v>0</v>
      </c>
      <c r="BB65" s="238">
        <f t="shared" si="86"/>
        <v>1</v>
      </c>
      <c r="BC65" s="238">
        <f t="shared" si="86"/>
        <v>0</v>
      </c>
      <c r="BD65" s="238">
        <f>SUM(BD63:BD64)</f>
        <v>7</v>
      </c>
      <c r="BF65" s="238">
        <f>SUM(BF63:BF64)</f>
        <v>4</v>
      </c>
      <c r="BG65" s="238">
        <f t="shared" ref="BG65:BK65" si="87">SUM(BG63:BG64)</f>
        <v>0</v>
      </c>
      <c r="BH65" s="238">
        <f t="shared" si="87"/>
        <v>1</v>
      </c>
      <c r="BI65" s="238">
        <f t="shared" si="87"/>
        <v>0</v>
      </c>
      <c r="BJ65" s="238">
        <f t="shared" si="87"/>
        <v>1</v>
      </c>
      <c r="BK65" s="238">
        <f t="shared" si="87"/>
        <v>0</v>
      </c>
      <c r="BL65" s="238">
        <f>SUM(BL63:BL64)</f>
        <v>6</v>
      </c>
      <c r="BN65" s="238">
        <f>SUM(BN63:BN64)</f>
        <v>560</v>
      </c>
      <c r="BO65" s="238">
        <f t="shared" ref="BO65:BS65" si="88">SUM(BO63:BO64)</f>
        <v>98.83</v>
      </c>
      <c r="BP65" s="238">
        <f t="shared" si="88"/>
        <v>18</v>
      </c>
      <c r="BQ65" s="238">
        <f t="shared" si="88"/>
        <v>0</v>
      </c>
      <c r="BR65" s="238">
        <f t="shared" si="88"/>
        <v>7</v>
      </c>
      <c r="BS65" s="238">
        <f t="shared" si="88"/>
        <v>0</v>
      </c>
      <c r="BT65" s="238">
        <f>SUM(BT63:BT64)</f>
        <v>683.83</v>
      </c>
    </row>
    <row r="66" spans="1:72" ht="16.5" thickBot="1" x14ac:dyDescent="0.3"/>
    <row r="67" spans="1:72" ht="16.5" thickBot="1" x14ac:dyDescent="0.3">
      <c r="A67" s="199"/>
      <c r="B67" s="239" t="s">
        <v>309</v>
      </c>
      <c r="C67" s="239" t="s">
        <v>310</v>
      </c>
      <c r="D67" s="239" t="s">
        <v>311</v>
      </c>
      <c r="E67" s="240" t="str">
        <f>E20</f>
        <v>Other</v>
      </c>
      <c r="F67" s="239" t="s">
        <v>313</v>
      </c>
      <c r="G67" s="239" t="s">
        <v>314</v>
      </c>
      <c r="H67" s="239" t="s">
        <v>59</v>
      </c>
      <c r="J67" s="239" t="s">
        <v>309</v>
      </c>
      <c r="K67" s="239" t="s">
        <v>310</v>
      </c>
      <c r="L67" s="239" t="s">
        <v>311</v>
      </c>
      <c r="M67" s="240" t="str">
        <f>M20</f>
        <v>Other</v>
      </c>
      <c r="N67" s="239" t="s">
        <v>313</v>
      </c>
      <c r="O67" s="239" t="s">
        <v>314</v>
      </c>
      <c r="P67" s="240" t="str">
        <f>P38</f>
        <v>Cadence</v>
      </c>
      <c r="R67" s="239" t="s">
        <v>309</v>
      </c>
      <c r="S67" s="239" t="s">
        <v>310</v>
      </c>
      <c r="T67" s="239" t="s">
        <v>311</v>
      </c>
      <c r="U67" s="240" t="str">
        <f>U20</f>
        <v>Other</v>
      </c>
      <c r="V67" s="239" t="s">
        <v>313</v>
      </c>
      <c r="W67" s="239" t="s">
        <v>314</v>
      </c>
      <c r="X67" s="240" t="str">
        <f>X38</f>
        <v>St. Rose</v>
      </c>
      <c r="Z67" s="239" t="s">
        <v>309</v>
      </c>
      <c r="AA67" s="239" t="s">
        <v>310</v>
      </c>
      <c r="AB67" s="239" t="s">
        <v>311</v>
      </c>
      <c r="AC67" s="240" t="str">
        <f>AC20</f>
        <v>Other</v>
      </c>
      <c r="AD67" s="239" t="s">
        <v>313</v>
      </c>
      <c r="AE67" s="239" t="s">
        <v>314</v>
      </c>
      <c r="AF67" s="240" t="str">
        <f>AF38</f>
        <v>Inspirada</v>
      </c>
      <c r="AH67" s="239" t="s">
        <v>309</v>
      </c>
      <c r="AI67" s="239" t="s">
        <v>310</v>
      </c>
      <c r="AJ67" s="239" t="s">
        <v>311</v>
      </c>
      <c r="AK67" s="240" t="str">
        <f>AK20</f>
        <v>Other</v>
      </c>
      <c r="AL67" s="239" t="s">
        <v>313</v>
      </c>
      <c r="AM67" s="239" t="s">
        <v>314</v>
      </c>
      <c r="AN67" s="240" t="str">
        <f>AN38</f>
        <v>Sloan</v>
      </c>
      <c r="AP67" s="239" t="s">
        <v>309</v>
      </c>
      <c r="AQ67" s="239" t="s">
        <v>310</v>
      </c>
      <c r="AR67" s="239" t="s">
        <v>311</v>
      </c>
      <c r="AS67" s="240" t="str">
        <f>AS20</f>
        <v>Other</v>
      </c>
      <c r="AT67" s="239" t="s">
        <v>313</v>
      </c>
      <c r="AU67" s="239" t="s">
        <v>314</v>
      </c>
      <c r="AV67" s="240" t="str">
        <f>AV38</f>
        <v>Springs</v>
      </c>
      <c r="AX67" s="239" t="s">
        <v>309</v>
      </c>
      <c r="AY67" s="239" t="s">
        <v>310</v>
      </c>
      <c r="AZ67" s="239" t="s">
        <v>311</v>
      </c>
      <c r="BA67" s="240" t="str">
        <f>BA20</f>
        <v>Other</v>
      </c>
      <c r="BB67" s="239" t="s">
        <v>313</v>
      </c>
      <c r="BC67" s="239" t="s">
        <v>314</v>
      </c>
      <c r="BD67" s="240" t="str">
        <f>BD38</f>
        <v>Virtual</v>
      </c>
      <c r="BF67" s="239" t="s">
        <v>309</v>
      </c>
      <c r="BG67" s="239" t="s">
        <v>310</v>
      </c>
      <c r="BH67" s="239" t="s">
        <v>311</v>
      </c>
      <c r="BI67" s="240" t="str">
        <f>BI20</f>
        <v>Other</v>
      </c>
      <c r="BJ67" s="239" t="s">
        <v>313</v>
      </c>
      <c r="BK67" s="239" t="s">
        <v>314</v>
      </c>
      <c r="BL67" s="240" t="str">
        <f>BL38</f>
        <v>Central</v>
      </c>
      <c r="BN67" s="239" t="s">
        <v>309</v>
      </c>
      <c r="BO67" s="239" t="s">
        <v>310</v>
      </c>
      <c r="BP67" s="239" t="s">
        <v>311</v>
      </c>
      <c r="BQ67" s="240" t="str">
        <f>BQ20</f>
        <v>Other</v>
      </c>
      <c r="BR67" s="239" t="s">
        <v>313</v>
      </c>
      <c r="BS67" s="239" t="s">
        <v>314</v>
      </c>
      <c r="BT67" s="240" t="str">
        <f>BT38</f>
        <v>System</v>
      </c>
    </row>
    <row r="68" spans="1:72" x14ac:dyDescent="0.25">
      <c r="A68" s="200" t="s">
        <v>215</v>
      </c>
      <c r="B68" s="241">
        <f>B17*B2</f>
        <v>9061425</v>
      </c>
      <c r="C68" s="241"/>
      <c r="D68" s="241"/>
      <c r="E68" s="241"/>
      <c r="F68" s="241"/>
      <c r="G68" s="241"/>
      <c r="H68" s="241">
        <f>SUM(B68:G68)</f>
        <v>9061425</v>
      </c>
      <c r="J68" s="241">
        <f>J17*J2</f>
        <v>24574350</v>
      </c>
      <c r="K68" s="241"/>
      <c r="L68" s="241"/>
      <c r="M68" s="241"/>
      <c r="N68" s="241"/>
      <c r="O68" s="241"/>
      <c r="P68" s="241">
        <f>SUM(J68:O68)</f>
        <v>24574350</v>
      </c>
      <c r="R68" s="241">
        <f>R17*R2</f>
        <v>10068250</v>
      </c>
      <c r="S68" s="241"/>
      <c r="T68" s="241"/>
      <c r="U68" s="241"/>
      <c r="V68" s="241"/>
      <c r="W68" s="241"/>
      <c r="X68" s="241">
        <f>SUM(R68:W68)</f>
        <v>10068250</v>
      </c>
      <c r="Z68" s="241">
        <f>Z17*Z2</f>
        <v>11710450</v>
      </c>
      <c r="AA68" s="241"/>
      <c r="AB68" s="241"/>
      <c r="AC68" s="241"/>
      <c r="AD68" s="241"/>
      <c r="AE68" s="241"/>
      <c r="AF68" s="241">
        <f>SUM(Z68:AE68)</f>
        <v>11710450</v>
      </c>
      <c r="AH68" s="241">
        <f>AH17*AH2</f>
        <v>24515700</v>
      </c>
      <c r="AI68" s="241"/>
      <c r="AJ68" s="241"/>
      <c r="AK68" s="241"/>
      <c r="AL68" s="241"/>
      <c r="AM68" s="241"/>
      <c r="AN68" s="241">
        <f>SUM(AH68:AM68)</f>
        <v>24515700</v>
      </c>
      <c r="AP68" s="241">
        <f>AP17*AP2</f>
        <v>8934350</v>
      </c>
      <c r="AQ68" s="241"/>
      <c r="AR68" s="241"/>
      <c r="AS68" s="241"/>
      <c r="AT68" s="241"/>
      <c r="AU68" s="241"/>
      <c r="AV68" s="241">
        <f>SUM(AP68:AU68)</f>
        <v>8934350</v>
      </c>
      <c r="AX68" s="241">
        <f>AX17*AX2</f>
        <v>1779050</v>
      </c>
      <c r="AY68" s="241"/>
      <c r="AZ68" s="241"/>
      <c r="BA68" s="241"/>
      <c r="BB68" s="241"/>
      <c r="BC68" s="241"/>
      <c r="BD68" s="241">
        <f>SUM(AX68:BC68)</f>
        <v>1779050</v>
      </c>
      <c r="BF68" s="241"/>
      <c r="BG68" s="241"/>
      <c r="BH68" s="241"/>
      <c r="BI68" s="241"/>
      <c r="BJ68" s="241"/>
      <c r="BK68" s="241"/>
      <c r="BL68" s="241">
        <f>SUM(BF68:BK68)</f>
        <v>0</v>
      </c>
      <c r="BN68" s="241">
        <f>B68+J68+R68+Z68+AH68+AP68+AX68+BF68</f>
        <v>90643575</v>
      </c>
      <c r="BO68" s="241">
        <f t="shared" ref="BO68:BS81" si="89">C68+K68+S68+AA68+AI68+AQ68+AY68+BG68</f>
        <v>0</v>
      </c>
      <c r="BP68" s="241">
        <f t="shared" si="89"/>
        <v>0</v>
      </c>
      <c r="BQ68" s="241">
        <f t="shared" si="89"/>
        <v>0</v>
      </c>
      <c r="BR68" s="241">
        <f t="shared" si="89"/>
        <v>0</v>
      </c>
      <c r="BS68" s="241">
        <f t="shared" si="89"/>
        <v>0</v>
      </c>
      <c r="BT68" s="241">
        <f>SUM(BN68:BS68)</f>
        <v>90643575</v>
      </c>
    </row>
    <row r="69" spans="1:72" x14ac:dyDescent="0.25">
      <c r="A69" s="201" t="s">
        <v>216</v>
      </c>
      <c r="B69" s="242">
        <f>B22*4399</f>
        <v>153965</v>
      </c>
      <c r="C69" s="242"/>
      <c r="D69" s="242"/>
      <c r="E69" s="242"/>
      <c r="F69" s="242"/>
      <c r="G69" s="242"/>
      <c r="H69" s="241">
        <f t="shared" ref="H69:H81" si="90">SUM(B69:G69)</f>
        <v>153965</v>
      </c>
      <c r="J69" s="242">
        <f>J22*4399</f>
        <v>219950</v>
      </c>
      <c r="K69" s="242"/>
      <c r="L69" s="242"/>
      <c r="M69" s="242"/>
      <c r="N69" s="242"/>
      <c r="O69" s="242"/>
      <c r="P69" s="241">
        <f t="shared" ref="P69:P81" si="91">SUM(J69:O69)</f>
        <v>219950</v>
      </c>
      <c r="R69" s="242">
        <f>R22*4399</f>
        <v>96778</v>
      </c>
      <c r="S69" s="242"/>
      <c r="T69" s="242"/>
      <c r="U69" s="242"/>
      <c r="V69" s="242"/>
      <c r="W69" s="242"/>
      <c r="X69" s="241">
        <f t="shared" ref="X69:X81" si="92">SUM(R69:W69)</f>
        <v>96778</v>
      </c>
      <c r="Z69" s="242">
        <f>Z22*4399</f>
        <v>184758</v>
      </c>
      <c r="AA69" s="242"/>
      <c r="AB69" s="242"/>
      <c r="AC69" s="242"/>
      <c r="AD69" s="242"/>
      <c r="AE69" s="242"/>
      <c r="AF69" s="241">
        <f t="shared" ref="AF69:AF81" si="93">SUM(Z69:AE69)</f>
        <v>184758</v>
      </c>
      <c r="AH69" s="242">
        <f>AH22*4399</f>
        <v>197955</v>
      </c>
      <c r="AI69" s="242"/>
      <c r="AJ69" s="242"/>
      <c r="AK69" s="242"/>
      <c r="AL69" s="242"/>
      <c r="AM69" s="242"/>
      <c r="AN69" s="241">
        <f t="shared" ref="AN69:AN81" si="94">SUM(AH69:AM69)</f>
        <v>197955</v>
      </c>
      <c r="AP69" s="242">
        <f>AP22*4399</f>
        <v>206753</v>
      </c>
      <c r="AQ69" s="242"/>
      <c r="AR69" s="242"/>
      <c r="AS69" s="242"/>
      <c r="AT69" s="242"/>
      <c r="AU69" s="242"/>
      <c r="AV69" s="241">
        <f t="shared" ref="AV69:AV81" si="95">SUM(AP69:AU69)</f>
        <v>206753</v>
      </c>
      <c r="AX69" s="242">
        <f>AX22*4399</f>
        <v>8798</v>
      </c>
      <c r="AY69" s="242"/>
      <c r="AZ69" s="242"/>
      <c r="BA69" s="242"/>
      <c r="BB69" s="242"/>
      <c r="BC69" s="242"/>
      <c r="BD69" s="241">
        <f t="shared" ref="BD69:BD81" si="96">SUM(AX69:BC69)</f>
        <v>8798</v>
      </c>
      <c r="BF69" s="242"/>
      <c r="BG69" s="242"/>
      <c r="BH69" s="242"/>
      <c r="BI69" s="242"/>
      <c r="BJ69" s="242"/>
      <c r="BK69" s="242"/>
      <c r="BL69" s="241">
        <f t="shared" ref="BL69:BL81" si="97">SUM(BF69:BK69)</f>
        <v>0</v>
      </c>
      <c r="BN69" s="241">
        <f t="shared" ref="BN69:BN81" si="98">B69+J69+R69+Z69+AH69+AP69+AX69+BF69</f>
        <v>1068957</v>
      </c>
      <c r="BO69" s="241">
        <f t="shared" si="89"/>
        <v>0</v>
      </c>
      <c r="BP69" s="241">
        <f t="shared" si="89"/>
        <v>0</v>
      </c>
      <c r="BQ69" s="241">
        <f t="shared" si="89"/>
        <v>0</v>
      </c>
      <c r="BR69" s="241">
        <f t="shared" si="89"/>
        <v>0</v>
      </c>
      <c r="BS69" s="241">
        <f t="shared" si="89"/>
        <v>0</v>
      </c>
      <c r="BT69" s="241">
        <f t="shared" ref="BT69:BT81" si="99">SUM(BN69:BS69)</f>
        <v>1068957</v>
      </c>
    </row>
    <row r="70" spans="1:72" x14ac:dyDescent="0.25">
      <c r="A70" s="201" t="s">
        <v>217</v>
      </c>
      <c r="B70" s="242">
        <f>B23*1173</f>
        <v>38709</v>
      </c>
      <c r="C70" s="242"/>
      <c r="D70" s="242"/>
      <c r="E70" s="242"/>
      <c r="F70" s="242"/>
      <c r="G70" s="242"/>
      <c r="H70" s="241">
        <f t="shared" si="90"/>
        <v>38709</v>
      </c>
      <c r="J70" s="242">
        <f>J23*1173</f>
        <v>46920</v>
      </c>
      <c r="K70" s="242"/>
      <c r="L70" s="242"/>
      <c r="M70" s="242"/>
      <c r="N70" s="242"/>
      <c r="O70" s="242"/>
      <c r="P70" s="241">
        <f t="shared" si="91"/>
        <v>46920</v>
      </c>
      <c r="R70" s="242">
        <f>R23*1173</f>
        <v>78591</v>
      </c>
      <c r="S70" s="242"/>
      <c r="T70" s="242"/>
      <c r="U70" s="242"/>
      <c r="V70" s="242"/>
      <c r="W70" s="242"/>
      <c r="X70" s="241">
        <f t="shared" si="92"/>
        <v>78591</v>
      </c>
      <c r="Z70" s="242">
        <f>Z23*1173</f>
        <v>65688</v>
      </c>
      <c r="AA70" s="242"/>
      <c r="AB70" s="242"/>
      <c r="AC70" s="242"/>
      <c r="AD70" s="242"/>
      <c r="AE70" s="242"/>
      <c r="AF70" s="241">
        <f t="shared" si="93"/>
        <v>65688</v>
      </c>
      <c r="AH70" s="242">
        <f>AH23*1173</f>
        <v>104397</v>
      </c>
      <c r="AI70" s="242"/>
      <c r="AJ70" s="242"/>
      <c r="AK70" s="242"/>
      <c r="AL70" s="242"/>
      <c r="AM70" s="242"/>
      <c r="AN70" s="241">
        <f t="shared" si="94"/>
        <v>104397</v>
      </c>
      <c r="AP70" s="242">
        <f>AP23*1173</f>
        <v>0</v>
      </c>
      <c r="AQ70" s="242"/>
      <c r="AR70" s="242"/>
      <c r="AS70" s="242"/>
      <c r="AT70" s="242"/>
      <c r="AU70" s="242"/>
      <c r="AV70" s="241">
        <f t="shared" si="95"/>
        <v>0</v>
      </c>
      <c r="AX70" s="242">
        <f>AX23*1130</f>
        <v>0</v>
      </c>
      <c r="AY70" s="242"/>
      <c r="AZ70" s="242"/>
      <c r="BA70" s="242"/>
      <c r="BB70" s="242"/>
      <c r="BC70" s="242"/>
      <c r="BD70" s="241">
        <f t="shared" si="96"/>
        <v>0</v>
      </c>
      <c r="BF70" s="242"/>
      <c r="BG70" s="242"/>
      <c r="BH70" s="242"/>
      <c r="BI70" s="242"/>
      <c r="BJ70" s="242"/>
      <c r="BK70" s="242"/>
      <c r="BL70" s="241">
        <f t="shared" si="97"/>
        <v>0</v>
      </c>
      <c r="BN70" s="241">
        <f t="shared" si="98"/>
        <v>334305</v>
      </c>
      <c r="BO70" s="241">
        <f t="shared" si="89"/>
        <v>0</v>
      </c>
      <c r="BP70" s="241">
        <f t="shared" si="89"/>
        <v>0</v>
      </c>
      <c r="BQ70" s="241">
        <f t="shared" si="89"/>
        <v>0</v>
      </c>
      <c r="BR70" s="241">
        <f t="shared" si="89"/>
        <v>0</v>
      </c>
      <c r="BS70" s="241">
        <f t="shared" si="89"/>
        <v>0</v>
      </c>
      <c r="BT70" s="241">
        <f t="shared" si="99"/>
        <v>334305</v>
      </c>
    </row>
    <row r="71" spans="1:72" x14ac:dyDescent="0.25">
      <c r="A71" s="201" t="s">
        <v>218</v>
      </c>
      <c r="B71" s="242">
        <f>B24*3421</f>
        <v>68420</v>
      </c>
      <c r="C71" s="242"/>
      <c r="D71" s="242"/>
      <c r="E71" s="242"/>
      <c r="F71" s="242"/>
      <c r="G71" s="242"/>
      <c r="H71" s="241">
        <f t="shared" si="90"/>
        <v>68420</v>
      </c>
      <c r="J71" s="242">
        <f>J24*3421</f>
        <v>393415</v>
      </c>
      <c r="K71" s="242"/>
      <c r="L71" s="242"/>
      <c r="M71" s="242"/>
      <c r="N71" s="242"/>
      <c r="O71" s="242"/>
      <c r="P71" s="241">
        <f t="shared" si="91"/>
        <v>393415</v>
      </c>
      <c r="R71" s="242">
        <f>R24*3421</f>
        <v>27368</v>
      </c>
      <c r="S71" s="242"/>
      <c r="T71" s="242"/>
      <c r="U71" s="242"/>
      <c r="V71" s="242"/>
      <c r="W71" s="242"/>
      <c r="X71" s="241">
        <f t="shared" si="92"/>
        <v>27368</v>
      </c>
      <c r="Z71" s="242">
        <f>Z24*3421</f>
        <v>0</v>
      </c>
      <c r="AA71" s="242"/>
      <c r="AB71" s="242"/>
      <c r="AC71" s="242"/>
      <c r="AD71" s="242"/>
      <c r="AE71" s="242"/>
      <c r="AF71" s="241">
        <f t="shared" si="93"/>
        <v>0</v>
      </c>
      <c r="AH71" s="242">
        <f>AH24*3421</f>
        <v>273680</v>
      </c>
      <c r="AI71" s="242"/>
      <c r="AJ71" s="242"/>
      <c r="AK71" s="242"/>
      <c r="AL71" s="242"/>
      <c r="AM71" s="242"/>
      <c r="AN71" s="241">
        <f t="shared" si="94"/>
        <v>273680</v>
      </c>
      <c r="AP71" s="242">
        <f>AP24*3421</f>
        <v>256575</v>
      </c>
      <c r="AQ71" s="242"/>
      <c r="AR71" s="242"/>
      <c r="AS71" s="242"/>
      <c r="AT71" s="242"/>
      <c r="AU71" s="242"/>
      <c r="AV71" s="241">
        <f t="shared" si="95"/>
        <v>256575</v>
      </c>
      <c r="AX71" s="242">
        <f>AX24*3421</f>
        <v>51315</v>
      </c>
      <c r="AY71" s="242"/>
      <c r="AZ71" s="242"/>
      <c r="BA71" s="242"/>
      <c r="BB71" s="242"/>
      <c r="BC71" s="242"/>
      <c r="BD71" s="241">
        <f t="shared" si="96"/>
        <v>51315</v>
      </c>
      <c r="BF71" s="242"/>
      <c r="BG71" s="242"/>
      <c r="BH71" s="242"/>
      <c r="BI71" s="242"/>
      <c r="BJ71" s="242"/>
      <c r="BK71" s="242"/>
      <c r="BL71" s="241">
        <f t="shared" si="97"/>
        <v>0</v>
      </c>
      <c r="BN71" s="241">
        <f t="shared" si="98"/>
        <v>1070773</v>
      </c>
      <c r="BO71" s="241">
        <f t="shared" si="89"/>
        <v>0</v>
      </c>
      <c r="BP71" s="241">
        <f t="shared" si="89"/>
        <v>0</v>
      </c>
      <c r="BQ71" s="241">
        <f t="shared" si="89"/>
        <v>0</v>
      </c>
      <c r="BR71" s="241">
        <f t="shared" si="89"/>
        <v>0</v>
      </c>
      <c r="BS71" s="241">
        <f t="shared" si="89"/>
        <v>0</v>
      </c>
      <c r="BT71" s="241">
        <f t="shared" si="99"/>
        <v>1070773</v>
      </c>
    </row>
    <row r="72" spans="1:72" x14ac:dyDescent="0.25">
      <c r="A72" s="201" t="s">
        <v>219</v>
      </c>
      <c r="B72" s="242">
        <v>250000</v>
      </c>
      <c r="C72" s="242"/>
      <c r="D72" s="242"/>
      <c r="E72" s="242"/>
      <c r="F72" s="242"/>
      <c r="G72" s="242"/>
      <c r="H72" s="241">
        <f t="shared" si="90"/>
        <v>250000</v>
      </c>
      <c r="J72" s="242">
        <v>610000</v>
      </c>
      <c r="K72" s="242"/>
      <c r="L72" s="242"/>
      <c r="M72" s="242"/>
      <c r="N72" s="242"/>
      <c r="O72" s="242"/>
      <c r="P72" s="241">
        <f t="shared" si="91"/>
        <v>610000</v>
      </c>
      <c r="R72" s="242">
        <v>240000</v>
      </c>
      <c r="S72" s="242"/>
      <c r="T72" s="242"/>
      <c r="U72" s="242"/>
      <c r="V72" s="242"/>
      <c r="W72" s="242"/>
      <c r="X72" s="241">
        <f t="shared" si="92"/>
        <v>240000</v>
      </c>
      <c r="Z72" s="242">
        <v>285000</v>
      </c>
      <c r="AA72" s="242"/>
      <c r="AB72" s="242"/>
      <c r="AC72" s="242"/>
      <c r="AD72" s="242"/>
      <c r="AE72" s="242"/>
      <c r="AF72" s="241">
        <f t="shared" si="93"/>
        <v>285000</v>
      </c>
      <c r="AH72" s="242">
        <v>585000</v>
      </c>
      <c r="AI72" s="242"/>
      <c r="AJ72" s="242"/>
      <c r="AK72" s="242"/>
      <c r="AL72" s="242"/>
      <c r="AM72" s="242"/>
      <c r="AN72" s="241">
        <f t="shared" si="94"/>
        <v>585000</v>
      </c>
      <c r="AP72" s="242">
        <v>155000</v>
      </c>
      <c r="AQ72" s="242"/>
      <c r="AR72" s="242"/>
      <c r="AS72" s="242"/>
      <c r="AT72" s="242"/>
      <c r="AU72" s="242"/>
      <c r="AV72" s="241">
        <f t="shared" si="95"/>
        <v>155000</v>
      </c>
      <c r="AX72" s="242">
        <v>37126</v>
      </c>
      <c r="AY72" s="242"/>
      <c r="AZ72" s="242"/>
      <c r="BA72" s="242"/>
      <c r="BB72" s="242"/>
      <c r="BC72" s="242"/>
      <c r="BD72" s="241">
        <f t="shared" si="96"/>
        <v>37126</v>
      </c>
      <c r="BF72" s="242"/>
      <c r="BG72" s="242"/>
      <c r="BH72" s="242"/>
      <c r="BI72" s="242"/>
      <c r="BJ72" s="242"/>
      <c r="BK72" s="242"/>
      <c r="BL72" s="241"/>
      <c r="BN72" s="241">
        <f t="shared" si="98"/>
        <v>2162126</v>
      </c>
      <c r="BO72" s="241">
        <f t="shared" si="89"/>
        <v>0</v>
      </c>
      <c r="BP72" s="241">
        <f t="shared" si="89"/>
        <v>0</v>
      </c>
      <c r="BQ72" s="241">
        <f t="shared" si="89"/>
        <v>0</v>
      </c>
      <c r="BR72" s="241">
        <f t="shared" si="89"/>
        <v>0</v>
      </c>
      <c r="BS72" s="241">
        <f t="shared" si="89"/>
        <v>0</v>
      </c>
      <c r="BT72" s="241">
        <f t="shared" si="99"/>
        <v>2162126</v>
      </c>
    </row>
    <row r="73" spans="1:72" x14ac:dyDescent="0.25">
      <c r="A73" s="201" t="s">
        <v>220</v>
      </c>
      <c r="B73" s="242"/>
      <c r="C73" s="242">
        <v>151884</v>
      </c>
      <c r="D73" s="242"/>
      <c r="E73" s="242"/>
      <c r="F73" s="242"/>
      <c r="G73" s="242"/>
      <c r="H73" s="241">
        <f t="shared" si="90"/>
        <v>151884</v>
      </c>
      <c r="J73" s="242"/>
      <c r="K73" s="242">
        <v>411906</v>
      </c>
      <c r="L73" s="242"/>
      <c r="M73" s="242"/>
      <c r="N73" s="242"/>
      <c r="O73" s="242"/>
      <c r="P73" s="241">
        <f t="shared" si="91"/>
        <v>411906</v>
      </c>
      <c r="R73" s="242"/>
      <c r="S73" s="242">
        <v>168760</v>
      </c>
      <c r="T73" s="242"/>
      <c r="U73" s="242"/>
      <c r="V73" s="242"/>
      <c r="W73" s="242"/>
      <c r="X73" s="241">
        <f t="shared" si="92"/>
        <v>168760</v>
      </c>
      <c r="Z73" s="242"/>
      <c r="AA73" s="242">
        <v>196286</v>
      </c>
      <c r="AB73" s="242"/>
      <c r="AC73" s="242"/>
      <c r="AD73" s="242"/>
      <c r="AE73" s="242"/>
      <c r="AF73" s="241">
        <f t="shared" si="93"/>
        <v>196286</v>
      </c>
      <c r="AH73" s="242"/>
      <c r="AI73" s="242">
        <v>416166</v>
      </c>
      <c r="AJ73" s="242"/>
      <c r="AK73" s="242"/>
      <c r="AL73" s="242"/>
      <c r="AM73" s="242"/>
      <c r="AN73" s="241">
        <f t="shared" si="94"/>
        <v>416166</v>
      </c>
      <c r="AP73" s="242"/>
      <c r="AQ73" s="242">
        <v>132058</v>
      </c>
      <c r="AR73" s="242"/>
      <c r="AS73" s="242"/>
      <c r="AT73" s="242"/>
      <c r="AU73" s="242"/>
      <c r="AV73" s="241">
        <f t="shared" si="95"/>
        <v>132058</v>
      </c>
      <c r="AX73" s="242"/>
      <c r="AY73" s="243">
        <v>22938</v>
      </c>
      <c r="AZ73" s="242"/>
      <c r="BA73" s="242"/>
      <c r="BB73" s="242"/>
      <c r="BC73" s="242"/>
      <c r="BD73" s="241">
        <f t="shared" si="96"/>
        <v>22938</v>
      </c>
      <c r="BF73" s="242"/>
      <c r="BG73" s="242"/>
      <c r="BH73" s="242"/>
      <c r="BI73" s="242"/>
      <c r="BJ73" s="242"/>
      <c r="BK73" s="242"/>
      <c r="BL73" s="241">
        <f t="shared" si="97"/>
        <v>0</v>
      </c>
      <c r="BN73" s="241">
        <f t="shared" si="98"/>
        <v>0</v>
      </c>
      <c r="BO73" s="241">
        <f t="shared" si="89"/>
        <v>1499998</v>
      </c>
      <c r="BP73" s="241">
        <f t="shared" si="89"/>
        <v>0</v>
      </c>
      <c r="BQ73" s="241">
        <f t="shared" si="89"/>
        <v>0</v>
      </c>
      <c r="BR73" s="241">
        <f t="shared" si="89"/>
        <v>0</v>
      </c>
      <c r="BS73" s="241">
        <f t="shared" si="89"/>
        <v>0</v>
      </c>
      <c r="BT73" s="241">
        <f t="shared" si="99"/>
        <v>1499998</v>
      </c>
    </row>
    <row r="74" spans="1:72" x14ac:dyDescent="0.25">
      <c r="A74" s="201" t="s">
        <v>221</v>
      </c>
      <c r="B74" s="244"/>
      <c r="C74" s="244">
        <f>3900*C21</f>
        <v>436800</v>
      </c>
      <c r="D74" s="244"/>
      <c r="E74" s="244"/>
      <c r="F74" s="244"/>
      <c r="G74" s="244"/>
      <c r="H74" s="241">
        <f t="shared" si="90"/>
        <v>436800</v>
      </c>
      <c r="J74" s="244"/>
      <c r="K74" s="244">
        <f>3900*K21</f>
        <v>1111500</v>
      </c>
      <c r="L74" s="244"/>
      <c r="M74" s="244"/>
      <c r="N74" s="244"/>
      <c r="O74" s="244"/>
      <c r="P74" s="241">
        <f t="shared" si="91"/>
        <v>1111500</v>
      </c>
      <c r="R74" s="244"/>
      <c r="S74" s="244">
        <f>3900*S21</f>
        <v>312000</v>
      </c>
      <c r="T74" s="244"/>
      <c r="U74" s="244"/>
      <c r="V74" s="244"/>
      <c r="W74" s="244"/>
      <c r="X74" s="241">
        <f t="shared" si="92"/>
        <v>312000</v>
      </c>
      <c r="Z74" s="244"/>
      <c r="AA74" s="244">
        <f>3900*AA21</f>
        <v>390000</v>
      </c>
      <c r="AB74" s="244"/>
      <c r="AC74" s="244"/>
      <c r="AD74" s="244"/>
      <c r="AE74" s="244"/>
      <c r="AF74" s="241">
        <f t="shared" si="93"/>
        <v>390000</v>
      </c>
      <c r="AH74" s="244"/>
      <c r="AI74" s="244">
        <f>3900*AI21</f>
        <v>838500</v>
      </c>
      <c r="AJ74" s="244"/>
      <c r="AK74" s="244"/>
      <c r="AL74" s="244"/>
      <c r="AM74" s="244"/>
      <c r="AN74" s="241">
        <f t="shared" si="94"/>
        <v>838500</v>
      </c>
      <c r="AP74" s="244"/>
      <c r="AQ74" s="244">
        <f>3900*AQ21</f>
        <v>374400</v>
      </c>
      <c r="AR74" s="244"/>
      <c r="AS74" s="244"/>
      <c r="AT74" s="244"/>
      <c r="AU74" s="244"/>
      <c r="AV74" s="241">
        <f t="shared" si="95"/>
        <v>374400</v>
      </c>
      <c r="AX74" s="244"/>
      <c r="AY74" s="244">
        <f>3900*AY21</f>
        <v>81900</v>
      </c>
      <c r="AZ74" s="244"/>
      <c r="BA74" s="244"/>
      <c r="BB74" s="244"/>
      <c r="BC74" s="244"/>
      <c r="BD74" s="241">
        <f t="shared" si="96"/>
        <v>81900</v>
      </c>
      <c r="BF74" s="242"/>
      <c r="BG74" s="242"/>
      <c r="BH74" s="242"/>
      <c r="BI74" s="242"/>
      <c r="BJ74" s="242"/>
      <c r="BK74" s="242"/>
      <c r="BL74" s="241">
        <f t="shared" si="97"/>
        <v>0</v>
      </c>
      <c r="BN74" s="241">
        <f t="shared" si="98"/>
        <v>0</v>
      </c>
      <c r="BO74" s="241">
        <f t="shared" si="89"/>
        <v>3545100</v>
      </c>
      <c r="BP74" s="241">
        <f t="shared" si="89"/>
        <v>0</v>
      </c>
      <c r="BQ74" s="241">
        <f t="shared" si="89"/>
        <v>0</v>
      </c>
      <c r="BR74" s="241">
        <f t="shared" si="89"/>
        <v>0</v>
      </c>
      <c r="BS74" s="241">
        <f t="shared" si="89"/>
        <v>0</v>
      </c>
      <c r="BT74" s="241">
        <f t="shared" si="99"/>
        <v>3545100</v>
      </c>
    </row>
    <row r="75" spans="1:72" x14ac:dyDescent="0.25">
      <c r="A75" s="201" t="s">
        <v>222</v>
      </c>
      <c r="B75" s="244"/>
      <c r="C75" s="244">
        <v>109558</v>
      </c>
      <c r="D75" s="244"/>
      <c r="E75" s="244"/>
      <c r="F75" s="244"/>
      <c r="G75" s="244"/>
      <c r="H75" s="241">
        <f t="shared" si="90"/>
        <v>109558</v>
      </c>
      <c r="J75" s="244"/>
      <c r="K75" s="244">
        <v>278785</v>
      </c>
      <c r="L75" s="244"/>
      <c r="M75" s="244"/>
      <c r="N75" s="244"/>
      <c r="O75" s="244"/>
      <c r="P75" s="241">
        <f t="shared" si="91"/>
        <v>278785</v>
      </c>
      <c r="R75" s="244"/>
      <c r="S75" s="244">
        <v>78255</v>
      </c>
      <c r="T75" s="244"/>
      <c r="U75" s="244"/>
      <c r="V75" s="244"/>
      <c r="W75" s="244"/>
      <c r="X75" s="241">
        <f t="shared" si="92"/>
        <v>78255</v>
      </c>
      <c r="Z75" s="244"/>
      <c r="AA75" s="244">
        <v>97820</v>
      </c>
      <c r="AB75" s="244"/>
      <c r="AC75" s="244"/>
      <c r="AD75" s="244"/>
      <c r="AE75" s="244"/>
      <c r="AF75" s="241">
        <f t="shared" si="93"/>
        <v>97820</v>
      </c>
      <c r="AH75" s="244"/>
      <c r="AI75" s="244">
        <v>192705</v>
      </c>
      <c r="AJ75" s="244"/>
      <c r="AK75" s="244"/>
      <c r="AL75" s="244"/>
      <c r="AM75" s="244"/>
      <c r="AN75" s="241">
        <f t="shared" si="94"/>
        <v>192705</v>
      </c>
      <c r="AP75" s="244"/>
      <c r="AQ75" s="244">
        <v>27390</v>
      </c>
      <c r="AR75" s="244"/>
      <c r="AS75" s="244"/>
      <c r="AT75" s="244"/>
      <c r="AU75" s="244"/>
      <c r="AV75" s="241">
        <f t="shared" si="95"/>
        <v>27390</v>
      </c>
      <c r="AX75" s="244"/>
      <c r="AY75" s="244">
        <v>20542</v>
      </c>
      <c r="AZ75" s="244"/>
      <c r="BA75" s="244"/>
      <c r="BB75" s="244"/>
      <c r="BC75" s="244"/>
      <c r="BD75" s="241">
        <f t="shared" si="96"/>
        <v>20542</v>
      </c>
      <c r="BF75" s="242"/>
      <c r="BG75" s="242"/>
      <c r="BH75" s="242"/>
      <c r="BI75" s="242"/>
      <c r="BJ75" s="242"/>
      <c r="BK75" s="242"/>
      <c r="BL75" s="241">
        <f t="shared" si="97"/>
        <v>0</v>
      </c>
      <c r="BN75" s="241">
        <f t="shared" si="98"/>
        <v>0</v>
      </c>
      <c r="BO75" s="241">
        <f t="shared" si="89"/>
        <v>805055</v>
      </c>
      <c r="BP75" s="241">
        <f t="shared" si="89"/>
        <v>0</v>
      </c>
      <c r="BQ75" s="241">
        <f t="shared" si="89"/>
        <v>0</v>
      </c>
      <c r="BR75" s="241">
        <f t="shared" si="89"/>
        <v>0</v>
      </c>
      <c r="BS75" s="241">
        <f t="shared" si="89"/>
        <v>0</v>
      </c>
      <c r="BT75" s="241">
        <f t="shared" si="99"/>
        <v>805055</v>
      </c>
    </row>
    <row r="76" spans="1:72" x14ac:dyDescent="0.25">
      <c r="A76" s="201" t="s">
        <v>223</v>
      </c>
      <c r="B76" s="242">
        <v>65000</v>
      </c>
      <c r="C76" s="244"/>
      <c r="D76" s="244"/>
      <c r="E76" s="244"/>
      <c r="F76" s="244"/>
      <c r="G76" s="244"/>
      <c r="H76" s="241">
        <f t="shared" si="90"/>
        <v>65000</v>
      </c>
      <c r="J76" s="242">
        <v>187500</v>
      </c>
      <c r="K76" s="244"/>
      <c r="L76" s="244"/>
      <c r="M76" s="244"/>
      <c r="N76" s="244"/>
      <c r="O76" s="244"/>
      <c r="P76" s="241">
        <f t="shared" si="91"/>
        <v>187500</v>
      </c>
      <c r="R76" s="242">
        <v>65000</v>
      </c>
      <c r="S76" s="244"/>
      <c r="T76" s="244"/>
      <c r="U76" s="244"/>
      <c r="V76" s="244"/>
      <c r="W76" s="244"/>
      <c r="X76" s="241">
        <f t="shared" si="92"/>
        <v>65000</v>
      </c>
      <c r="Z76" s="242">
        <v>65000</v>
      </c>
      <c r="AA76" s="244"/>
      <c r="AB76" s="244"/>
      <c r="AC76" s="244"/>
      <c r="AD76" s="244"/>
      <c r="AE76" s="244"/>
      <c r="AF76" s="241">
        <f t="shared" si="93"/>
        <v>65000</v>
      </c>
      <c r="AH76" s="242">
        <v>187500</v>
      </c>
      <c r="AI76" s="244"/>
      <c r="AJ76" s="244"/>
      <c r="AK76" s="244"/>
      <c r="AL76" s="244"/>
      <c r="AM76" s="244"/>
      <c r="AN76" s="241">
        <f t="shared" si="94"/>
        <v>187500</v>
      </c>
      <c r="AP76" s="242">
        <v>30000</v>
      </c>
      <c r="AQ76" s="244"/>
      <c r="AR76" s="244"/>
      <c r="AS76" s="244"/>
      <c r="AT76" s="244"/>
      <c r="AU76" s="244"/>
      <c r="AV76" s="241">
        <f t="shared" si="95"/>
        <v>30000</v>
      </c>
      <c r="AX76" s="242">
        <v>0</v>
      </c>
      <c r="AY76" s="242"/>
      <c r="AZ76" s="242"/>
      <c r="BA76" s="244"/>
      <c r="BB76" s="244"/>
      <c r="BC76" s="244"/>
      <c r="BD76" s="241">
        <f t="shared" si="96"/>
        <v>0</v>
      </c>
      <c r="BF76" s="242">
        <f>55000*12</f>
        <v>660000</v>
      </c>
      <c r="BG76" s="242"/>
      <c r="BH76" s="242"/>
      <c r="BI76" s="242"/>
      <c r="BJ76" s="242"/>
      <c r="BK76" s="242"/>
      <c r="BL76" s="241">
        <f t="shared" si="97"/>
        <v>660000</v>
      </c>
      <c r="BN76" s="241">
        <f t="shared" si="98"/>
        <v>1260000</v>
      </c>
      <c r="BO76" s="241">
        <f t="shared" si="89"/>
        <v>0</v>
      </c>
      <c r="BP76" s="241">
        <f t="shared" si="89"/>
        <v>0</v>
      </c>
      <c r="BQ76" s="241">
        <f t="shared" si="89"/>
        <v>0</v>
      </c>
      <c r="BR76" s="241">
        <f t="shared" si="89"/>
        <v>0</v>
      </c>
      <c r="BS76" s="241">
        <f t="shared" si="89"/>
        <v>0</v>
      </c>
      <c r="BT76" s="241">
        <f t="shared" si="99"/>
        <v>1260000</v>
      </c>
    </row>
    <row r="77" spans="1:72" x14ac:dyDescent="0.25">
      <c r="A77" s="201" t="s">
        <v>224</v>
      </c>
      <c r="B77" s="244"/>
      <c r="C77" s="244"/>
      <c r="D77" s="244"/>
      <c r="E77" s="244"/>
      <c r="F77" s="244">
        <f>78480+18732</f>
        <v>97212</v>
      </c>
      <c r="G77" s="244"/>
      <c r="H77" s="241">
        <f t="shared" si="90"/>
        <v>97212</v>
      </c>
      <c r="J77" s="244"/>
      <c r="K77" s="244"/>
      <c r="L77" s="244"/>
      <c r="M77" s="244"/>
      <c r="N77" s="244">
        <v>49770</v>
      </c>
      <c r="O77" s="244"/>
      <c r="P77" s="241">
        <f t="shared" si="91"/>
        <v>49770</v>
      </c>
      <c r="R77" s="244"/>
      <c r="S77" s="244"/>
      <c r="T77" s="244"/>
      <c r="U77" s="244"/>
      <c r="V77" s="244">
        <v>0</v>
      </c>
      <c r="W77" s="244"/>
      <c r="X77" s="241">
        <f t="shared" si="92"/>
        <v>0</v>
      </c>
      <c r="Z77" s="244"/>
      <c r="AA77" s="244"/>
      <c r="AB77" s="244"/>
      <c r="AC77" s="244"/>
      <c r="AD77" s="244"/>
      <c r="AE77" s="244"/>
      <c r="AF77" s="241">
        <f t="shared" si="93"/>
        <v>0</v>
      </c>
      <c r="AH77" s="244"/>
      <c r="AI77" s="244"/>
      <c r="AJ77" s="244"/>
      <c r="AK77" s="244"/>
      <c r="AL77" s="244"/>
      <c r="AM77" s="244"/>
      <c r="AN77" s="241">
        <f t="shared" si="94"/>
        <v>0</v>
      </c>
      <c r="AP77" s="244"/>
      <c r="AQ77" s="244"/>
      <c r="AR77" s="244"/>
      <c r="AS77" s="244"/>
      <c r="AT77" s="244">
        <f>170000+5000</f>
        <v>175000</v>
      </c>
      <c r="AU77" s="244"/>
      <c r="AV77" s="241">
        <f t="shared" si="95"/>
        <v>175000</v>
      </c>
      <c r="AX77" s="242"/>
      <c r="AY77" s="242"/>
      <c r="AZ77" s="242"/>
      <c r="BA77" s="244"/>
      <c r="BB77" s="244">
        <v>23520</v>
      </c>
      <c r="BC77" s="244"/>
      <c r="BD77" s="241">
        <f t="shared" si="96"/>
        <v>23520</v>
      </c>
      <c r="BF77" s="242"/>
      <c r="BG77" s="242"/>
      <c r="BH77" s="242"/>
      <c r="BI77" s="242"/>
      <c r="BJ77" s="242">
        <f>145235+192192+290000+120000</f>
        <v>747427</v>
      </c>
      <c r="BK77" s="242"/>
      <c r="BL77" s="241">
        <f t="shared" si="97"/>
        <v>747427</v>
      </c>
      <c r="BN77" s="241">
        <f t="shared" si="98"/>
        <v>0</v>
      </c>
      <c r="BO77" s="241">
        <f t="shared" si="89"/>
        <v>0</v>
      </c>
      <c r="BP77" s="241">
        <f t="shared" si="89"/>
        <v>0</v>
      </c>
      <c r="BQ77" s="241">
        <f t="shared" si="89"/>
        <v>0</v>
      </c>
      <c r="BR77" s="241">
        <f t="shared" si="89"/>
        <v>1092929</v>
      </c>
      <c r="BS77" s="241">
        <f t="shared" si="89"/>
        <v>0</v>
      </c>
      <c r="BT77" s="241">
        <f t="shared" si="99"/>
        <v>1092929</v>
      </c>
    </row>
    <row r="78" spans="1:72" x14ac:dyDescent="0.25">
      <c r="A78" s="201" t="s">
        <v>225</v>
      </c>
      <c r="B78" s="244"/>
      <c r="C78" s="244"/>
      <c r="D78" s="244"/>
      <c r="E78" s="244"/>
      <c r="F78" s="244"/>
      <c r="G78" s="244">
        <v>0</v>
      </c>
      <c r="H78" s="241">
        <f t="shared" si="90"/>
        <v>0</v>
      </c>
      <c r="J78" s="244">
        <f>AX163</f>
        <v>145600</v>
      </c>
      <c r="K78" s="244"/>
      <c r="L78" s="244"/>
      <c r="M78" s="244"/>
      <c r="N78" s="244"/>
      <c r="O78" s="244">
        <v>0</v>
      </c>
      <c r="P78" s="241">
        <f t="shared" si="91"/>
        <v>145600</v>
      </c>
      <c r="R78" s="244"/>
      <c r="S78" s="244"/>
      <c r="T78" s="244"/>
      <c r="U78" s="244"/>
      <c r="V78" s="244"/>
      <c r="W78" s="244">
        <v>0</v>
      </c>
      <c r="X78" s="241">
        <f t="shared" si="92"/>
        <v>0</v>
      </c>
      <c r="Z78" s="244"/>
      <c r="AA78" s="244"/>
      <c r="AB78" s="244"/>
      <c r="AC78" s="244"/>
      <c r="AD78" s="244"/>
      <c r="AE78" s="244">
        <v>0</v>
      </c>
      <c r="AF78" s="241">
        <f t="shared" si="93"/>
        <v>0</v>
      </c>
      <c r="AH78" s="244"/>
      <c r="AI78" s="244"/>
      <c r="AJ78" s="244"/>
      <c r="AK78" s="244"/>
      <c r="AL78" s="244"/>
      <c r="AM78" s="244">
        <v>0</v>
      </c>
      <c r="AN78" s="241">
        <f t="shared" si="94"/>
        <v>0</v>
      </c>
      <c r="AP78" s="244"/>
      <c r="AQ78" s="244"/>
      <c r="AR78" s="244"/>
      <c r="AS78" s="244"/>
      <c r="AT78" s="244"/>
      <c r="AU78" s="244">
        <v>0</v>
      </c>
      <c r="AV78" s="241">
        <f t="shared" si="95"/>
        <v>0</v>
      </c>
      <c r="AX78" s="242"/>
      <c r="AY78" s="242"/>
      <c r="AZ78" s="242"/>
      <c r="BA78" s="244"/>
      <c r="BB78" s="244"/>
      <c r="BC78" s="244">
        <v>0</v>
      </c>
      <c r="BD78" s="241">
        <f t="shared" si="96"/>
        <v>0</v>
      </c>
      <c r="BF78" s="242">
        <v>0</v>
      </c>
      <c r="BG78" s="242"/>
      <c r="BH78" s="242"/>
      <c r="BI78" s="242"/>
      <c r="BJ78" s="242"/>
      <c r="BK78" s="242"/>
      <c r="BL78" s="241">
        <f t="shared" si="97"/>
        <v>0</v>
      </c>
      <c r="BN78" s="241">
        <f t="shared" si="98"/>
        <v>145600</v>
      </c>
      <c r="BO78" s="241">
        <f t="shared" si="89"/>
        <v>0</v>
      </c>
      <c r="BP78" s="241">
        <f t="shared" si="89"/>
        <v>0</v>
      </c>
      <c r="BQ78" s="241">
        <f t="shared" si="89"/>
        <v>0</v>
      </c>
      <c r="BR78" s="241">
        <f t="shared" si="89"/>
        <v>0</v>
      </c>
      <c r="BS78" s="241">
        <f t="shared" si="89"/>
        <v>0</v>
      </c>
      <c r="BT78" s="241">
        <f t="shared" si="99"/>
        <v>145600</v>
      </c>
    </row>
    <row r="79" spans="1:72" x14ac:dyDescent="0.25">
      <c r="A79" s="201" t="s">
        <v>226</v>
      </c>
      <c r="B79" s="244"/>
      <c r="C79" s="244"/>
      <c r="D79" s="244"/>
      <c r="E79" s="244"/>
      <c r="F79" s="244"/>
      <c r="G79" s="244">
        <v>300000</v>
      </c>
      <c r="H79" s="241">
        <f t="shared" si="90"/>
        <v>300000</v>
      </c>
      <c r="J79" s="244"/>
      <c r="K79" s="244"/>
      <c r="L79" s="244"/>
      <c r="M79" s="244"/>
      <c r="N79" s="244"/>
      <c r="O79" s="244">
        <v>1500000</v>
      </c>
      <c r="P79" s="241">
        <f t="shared" si="91"/>
        <v>1500000</v>
      </c>
      <c r="R79" s="244"/>
      <c r="S79" s="244"/>
      <c r="T79" s="244"/>
      <c r="U79" s="244"/>
      <c r="V79" s="244"/>
      <c r="W79" s="244">
        <v>850000</v>
      </c>
      <c r="X79" s="241">
        <f t="shared" si="92"/>
        <v>850000</v>
      </c>
      <c r="Z79" s="244"/>
      <c r="AA79" s="244"/>
      <c r="AB79" s="244"/>
      <c r="AC79" s="244"/>
      <c r="AD79" s="244"/>
      <c r="AE79" s="244">
        <v>900000</v>
      </c>
      <c r="AF79" s="241">
        <f t="shared" si="93"/>
        <v>900000</v>
      </c>
      <c r="AH79" s="244"/>
      <c r="AI79" s="244"/>
      <c r="AJ79" s="244"/>
      <c r="AK79" s="244"/>
      <c r="AL79" s="244"/>
      <c r="AM79" s="244">
        <v>2500000</v>
      </c>
      <c r="AN79" s="241">
        <f t="shared" si="94"/>
        <v>2500000</v>
      </c>
      <c r="AP79" s="244"/>
      <c r="AQ79" s="244"/>
      <c r="AR79" s="244"/>
      <c r="AS79" s="244"/>
      <c r="AT79" s="244"/>
      <c r="AU79" s="244">
        <v>100000</v>
      </c>
      <c r="AV79" s="241">
        <f t="shared" si="95"/>
        <v>100000</v>
      </c>
      <c r="AX79" s="242"/>
      <c r="AY79" s="242"/>
      <c r="AZ79" s="242"/>
      <c r="BA79" s="244"/>
      <c r="BB79" s="244"/>
      <c r="BC79" s="244">
        <v>25000</v>
      </c>
      <c r="BD79" s="241">
        <f t="shared" si="96"/>
        <v>25000</v>
      </c>
      <c r="BF79" s="242"/>
      <c r="BG79" s="242"/>
      <c r="BH79" s="242"/>
      <c r="BI79" s="242"/>
      <c r="BJ79" s="242"/>
      <c r="BK79" s="242"/>
      <c r="BL79" s="241">
        <f t="shared" si="97"/>
        <v>0</v>
      </c>
      <c r="BN79" s="241">
        <f t="shared" si="98"/>
        <v>0</v>
      </c>
      <c r="BO79" s="241">
        <f t="shared" si="89"/>
        <v>0</v>
      </c>
      <c r="BP79" s="241">
        <f t="shared" si="89"/>
        <v>0</v>
      </c>
      <c r="BQ79" s="241">
        <f t="shared" si="89"/>
        <v>0</v>
      </c>
      <c r="BR79" s="241">
        <f t="shared" si="89"/>
        <v>0</v>
      </c>
      <c r="BS79" s="241">
        <f t="shared" si="89"/>
        <v>6175000</v>
      </c>
      <c r="BT79" s="241">
        <f t="shared" si="99"/>
        <v>6175000</v>
      </c>
    </row>
    <row r="80" spans="1:72" x14ac:dyDescent="0.25">
      <c r="A80" s="201" t="s">
        <v>227</v>
      </c>
      <c r="B80" s="244"/>
      <c r="C80" s="244"/>
      <c r="D80" s="242">
        <f>((125*2.52)*180)</f>
        <v>56700</v>
      </c>
      <c r="E80" s="244"/>
      <c r="F80" s="244"/>
      <c r="G80" s="244"/>
      <c r="H80" s="241">
        <f t="shared" si="90"/>
        <v>56700</v>
      </c>
      <c r="J80" s="244"/>
      <c r="K80" s="244"/>
      <c r="L80" s="242">
        <f>((200*2.52)*180)</f>
        <v>90720</v>
      </c>
      <c r="M80" s="244"/>
      <c r="N80" s="244"/>
      <c r="O80" s="244"/>
      <c r="P80" s="241">
        <f t="shared" si="91"/>
        <v>90720</v>
      </c>
      <c r="R80" s="244"/>
      <c r="S80" s="244"/>
      <c r="T80" s="242">
        <v>0</v>
      </c>
      <c r="U80" s="244"/>
      <c r="V80" s="244"/>
      <c r="W80" s="244"/>
      <c r="X80" s="241">
        <f t="shared" si="92"/>
        <v>0</v>
      </c>
      <c r="Z80" s="244"/>
      <c r="AA80" s="244"/>
      <c r="AB80" s="242">
        <v>0</v>
      </c>
      <c r="AC80" s="244"/>
      <c r="AD80" s="244"/>
      <c r="AE80" s="244"/>
      <c r="AF80" s="241">
        <f t="shared" si="93"/>
        <v>0</v>
      </c>
      <c r="AH80" s="244"/>
      <c r="AI80" s="244"/>
      <c r="AJ80" s="242">
        <v>0</v>
      </c>
      <c r="AK80" s="244"/>
      <c r="AL80" s="244"/>
      <c r="AM80" s="244"/>
      <c r="AN80" s="241">
        <f t="shared" si="94"/>
        <v>0</v>
      </c>
      <c r="AP80" s="244"/>
      <c r="AQ80" s="244"/>
      <c r="AR80" s="242">
        <f>(((240*0.9)*2.42)*180)+(((240*0.1)*0.4)*180)</f>
        <v>95817.600000000006</v>
      </c>
      <c r="AS80" s="244"/>
      <c r="AT80" s="244"/>
      <c r="AU80" s="244"/>
      <c r="AV80" s="241">
        <f t="shared" si="95"/>
        <v>95817.600000000006</v>
      </c>
      <c r="AX80" s="242"/>
      <c r="AY80" s="242"/>
      <c r="AZ80" s="242">
        <v>0</v>
      </c>
      <c r="BA80" s="244"/>
      <c r="BB80" s="244"/>
      <c r="BC80" s="244"/>
      <c r="BD80" s="241">
        <f t="shared" si="96"/>
        <v>0</v>
      </c>
      <c r="BF80" s="242"/>
      <c r="BG80" s="242"/>
      <c r="BH80" s="242"/>
      <c r="BI80" s="242"/>
      <c r="BJ80" s="242"/>
      <c r="BK80" s="242"/>
      <c r="BL80" s="241">
        <f t="shared" si="97"/>
        <v>0</v>
      </c>
      <c r="BN80" s="241">
        <f t="shared" si="98"/>
        <v>0</v>
      </c>
      <c r="BO80" s="241">
        <f t="shared" si="89"/>
        <v>0</v>
      </c>
      <c r="BP80" s="241">
        <f t="shared" si="89"/>
        <v>243237.6</v>
      </c>
      <c r="BQ80" s="241">
        <f t="shared" si="89"/>
        <v>0</v>
      </c>
      <c r="BR80" s="241">
        <f t="shared" si="89"/>
        <v>0</v>
      </c>
      <c r="BS80" s="241">
        <f t="shared" si="89"/>
        <v>0</v>
      </c>
      <c r="BT80" s="241">
        <f t="shared" si="99"/>
        <v>243237.6</v>
      </c>
    </row>
    <row r="81" spans="1:72" x14ac:dyDescent="0.25">
      <c r="A81" s="202" t="s">
        <v>228</v>
      </c>
      <c r="B81" s="245"/>
      <c r="C81" s="245"/>
      <c r="D81" s="242">
        <f>(5.16*25*180)+(50*4.27*180)+(175*4.67*180)</f>
        <v>208755</v>
      </c>
      <c r="E81" s="245"/>
      <c r="F81" s="245"/>
      <c r="G81" s="245"/>
      <c r="H81" s="241">
        <f t="shared" si="90"/>
        <v>208755</v>
      </c>
      <c r="J81" s="245"/>
      <c r="K81" s="245"/>
      <c r="L81" s="242">
        <f>(5.16*75*180)+(150*4.27*180)+(300*4.67*180)</f>
        <v>437130</v>
      </c>
      <c r="M81" s="245"/>
      <c r="N81" s="245"/>
      <c r="O81" s="245"/>
      <c r="P81" s="241">
        <f t="shared" si="91"/>
        <v>437130</v>
      </c>
      <c r="R81" s="245"/>
      <c r="S81" s="245"/>
      <c r="T81" s="242">
        <f>(5.16*55*180)+(19*4.27*180)+(91*4.67*180)</f>
        <v>142182</v>
      </c>
      <c r="U81" s="245"/>
      <c r="V81" s="245"/>
      <c r="W81" s="245"/>
      <c r="X81" s="241">
        <f t="shared" si="92"/>
        <v>142182</v>
      </c>
      <c r="Z81" s="245"/>
      <c r="AA81" s="245"/>
      <c r="AB81" s="242">
        <f>(5.16*64*180)+((2*4.27*180)+(39*4.67*180))</f>
        <v>93763.8</v>
      </c>
      <c r="AC81" s="245"/>
      <c r="AD81" s="245"/>
      <c r="AE81" s="245"/>
      <c r="AF81" s="241">
        <f t="shared" si="93"/>
        <v>93763.8</v>
      </c>
      <c r="AH81" s="245"/>
      <c r="AI81" s="245"/>
      <c r="AJ81" s="242">
        <f>(5.16*136*180)+(20*4.27*180)+(119*4.67*180)</f>
        <v>241720.2</v>
      </c>
      <c r="AK81" s="245"/>
      <c r="AL81" s="245"/>
      <c r="AM81" s="245"/>
      <c r="AN81" s="241">
        <f t="shared" si="94"/>
        <v>241720.2</v>
      </c>
      <c r="AP81" s="245"/>
      <c r="AQ81" s="245"/>
      <c r="AR81" s="242">
        <f>(((590*0.9)*4.57)*180)+(((590*0.1)*0.53)*180)</f>
        <v>442429.2</v>
      </c>
      <c r="AS81" s="245"/>
      <c r="AT81" s="245"/>
      <c r="AU81" s="245"/>
      <c r="AV81" s="241">
        <f t="shared" si="95"/>
        <v>442429.2</v>
      </c>
      <c r="AX81" s="282"/>
      <c r="AY81" s="282"/>
      <c r="AZ81" s="242"/>
      <c r="BA81" s="245"/>
      <c r="BB81" s="245"/>
      <c r="BC81" s="245"/>
      <c r="BD81" s="241">
        <f t="shared" si="96"/>
        <v>0</v>
      </c>
      <c r="BF81" s="282"/>
      <c r="BG81" s="282"/>
      <c r="BH81" s="242"/>
      <c r="BI81" s="282"/>
      <c r="BJ81" s="282"/>
      <c r="BK81" s="282"/>
      <c r="BL81" s="241">
        <f t="shared" si="97"/>
        <v>0</v>
      </c>
      <c r="BN81" s="241">
        <f t="shared" si="98"/>
        <v>0</v>
      </c>
      <c r="BO81" s="241">
        <f t="shared" si="89"/>
        <v>0</v>
      </c>
      <c r="BP81" s="241">
        <f t="shared" si="89"/>
        <v>1565980.2</v>
      </c>
      <c r="BQ81" s="241">
        <f t="shared" si="89"/>
        <v>0</v>
      </c>
      <c r="BR81" s="241">
        <f t="shared" si="89"/>
        <v>0</v>
      </c>
      <c r="BS81" s="241">
        <f t="shared" si="89"/>
        <v>0</v>
      </c>
      <c r="BT81" s="241">
        <f t="shared" si="99"/>
        <v>1565980.2</v>
      </c>
    </row>
    <row r="82" spans="1:72" x14ac:dyDescent="0.25">
      <c r="A82" s="203"/>
      <c r="B82" s="246">
        <f>SUM(B68:B81)</f>
        <v>9637519</v>
      </c>
      <c r="C82" s="246">
        <f t="shared" ref="C82:G82" si="100">SUM(C68:C81)</f>
        <v>698242</v>
      </c>
      <c r="D82" s="246">
        <f t="shared" si="100"/>
        <v>265455</v>
      </c>
      <c r="E82" s="246">
        <f t="shared" si="100"/>
        <v>0</v>
      </c>
      <c r="F82" s="246">
        <f t="shared" si="100"/>
        <v>97212</v>
      </c>
      <c r="G82" s="246">
        <f t="shared" si="100"/>
        <v>300000</v>
      </c>
      <c r="H82" s="246">
        <f>SUM(H68:H81)</f>
        <v>10998428</v>
      </c>
      <c r="J82" s="246">
        <f>SUM(J68:J81)</f>
        <v>26177735</v>
      </c>
      <c r="K82" s="246">
        <f t="shared" ref="K82:O82" si="101">SUM(K68:K81)</f>
        <v>1802191</v>
      </c>
      <c r="L82" s="246">
        <f t="shared" si="101"/>
        <v>527850</v>
      </c>
      <c r="M82" s="246">
        <f t="shared" si="101"/>
        <v>0</v>
      </c>
      <c r="N82" s="246">
        <f t="shared" si="101"/>
        <v>49770</v>
      </c>
      <c r="O82" s="246">
        <f t="shared" si="101"/>
        <v>1500000</v>
      </c>
      <c r="P82" s="246">
        <f>SUM(P68:P81)</f>
        <v>30057546</v>
      </c>
      <c r="R82" s="246">
        <f>SUM(R68:R81)</f>
        <v>10575987</v>
      </c>
      <c r="S82" s="246">
        <f t="shared" ref="S82:W82" si="102">SUM(S68:S81)</f>
        <v>559015</v>
      </c>
      <c r="T82" s="246">
        <f t="shared" si="102"/>
        <v>142182</v>
      </c>
      <c r="U82" s="246">
        <f t="shared" si="102"/>
        <v>0</v>
      </c>
      <c r="V82" s="246">
        <f t="shared" si="102"/>
        <v>0</v>
      </c>
      <c r="W82" s="246">
        <f t="shared" si="102"/>
        <v>850000</v>
      </c>
      <c r="X82" s="246">
        <f>SUM(X68:X81)</f>
        <v>12127184</v>
      </c>
      <c r="Z82" s="246">
        <f>SUM(Z68:Z81)</f>
        <v>12310896</v>
      </c>
      <c r="AA82" s="246">
        <f t="shared" ref="AA82:AE82" si="103">SUM(AA68:AA81)</f>
        <v>684106</v>
      </c>
      <c r="AB82" s="246">
        <f t="shared" si="103"/>
        <v>93763.8</v>
      </c>
      <c r="AC82" s="246">
        <f t="shared" si="103"/>
        <v>0</v>
      </c>
      <c r="AD82" s="246">
        <f t="shared" si="103"/>
        <v>0</v>
      </c>
      <c r="AE82" s="246">
        <f t="shared" si="103"/>
        <v>900000</v>
      </c>
      <c r="AF82" s="246">
        <f>SUM(AF68:AF81)</f>
        <v>13988765.800000001</v>
      </c>
      <c r="AH82" s="246">
        <f>SUM(AH68:AH81)</f>
        <v>25864232</v>
      </c>
      <c r="AI82" s="246">
        <f t="shared" ref="AI82:AM82" si="104">SUM(AI68:AI81)</f>
        <v>1447371</v>
      </c>
      <c r="AJ82" s="246">
        <f t="shared" si="104"/>
        <v>241720.2</v>
      </c>
      <c r="AK82" s="246">
        <f t="shared" si="104"/>
        <v>0</v>
      </c>
      <c r="AL82" s="246">
        <f t="shared" si="104"/>
        <v>0</v>
      </c>
      <c r="AM82" s="246">
        <f t="shared" si="104"/>
        <v>2500000</v>
      </c>
      <c r="AN82" s="246">
        <f>SUM(AN68:AN81)</f>
        <v>30053323.199999999</v>
      </c>
      <c r="AP82" s="246">
        <f>SUM(AP68:AP81)</f>
        <v>9582678</v>
      </c>
      <c r="AQ82" s="246">
        <f t="shared" ref="AQ82:AU82" si="105">SUM(AQ68:AQ81)</f>
        <v>533848</v>
      </c>
      <c r="AR82" s="246">
        <f t="shared" si="105"/>
        <v>538246.80000000005</v>
      </c>
      <c r="AS82" s="246">
        <f t="shared" si="105"/>
        <v>0</v>
      </c>
      <c r="AT82" s="246">
        <f t="shared" si="105"/>
        <v>175000</v>
      </c>
      <c r="AU82" s="246">
        <f t="shared" si="105"/>
        <v>100000</v>
      </c>
      <c r="AV82" s="246">
        <f>SUM(AV68:AV81)</f>
        <v>10929772.799999999</v>
      </c>
      <c r="AX82" s="246">
        <f>SUM(AX68:AX81)</f>
        <v>1876289</v>
      </c>
      <c r="AY82" s="246">
        <f t="shared" ref="AY82:BC82" si="106">SUM(AY68:AY81)</f>
        <v>125380</v>
      </c>
      <c r="AZ82" s="246">
        <f t="shared" si="106"/>
        <v>0</v>
      </c>
      <c r="BA82" s="246">
        <f t="shared" si="106"/>
        <v>0</v>
      </c>
      <c r="BB82" s="246">
        <f t="shared" si="106"/>
        <v>23520</v>
      </c>
      <c r="BC82" s="246">
        <f t="shared" si="106"/>
        <v>25000</v>
      </c>
      <c r="BD82" s="246">
        <f>SUM(BD68:BD81)</f>
        <v>2050189</v>
      </c>
      <c r="BF82" s="246">
        <f>SUM(BF68:BF81)</f>
        <v>660000</v>
      </c>
      <c r="BG82" s="246">
        <f t="shared" ref="BG82:BK82" si="107">SUM(BG68:BG81)</f>
        <v>0</v>
      </c>
      <c r="BH82" s="246">
        <f t="shared" si="107"/>
        <v>0</v>
      </c>
      <c r="BI82" s="246">
        <f t="shared" si="107"/>
        <v>0</v>
      </c>
      <c r="BJ82" s="246">
        <f t="shared" si="107"/>
        <v>747427</v>
      </c>
      <c r="BK82" s="246">
        <f t="shared" si="107"/>
        <v>0</v>
      </c>
      <c r="BL82" s="246">
        <f>SUM(BL68:BL81)</f>
        <v>1407427</v>
      </c>
      <c r="BN82" s="246">
        <f>SUM(BN68:BN81)</f>
        <v>96685336</v>
      </c>
      <c r="BO82" s="246">
        <f t="shared" ref="BO82:BS82" si="108">SUM(BO68:BO81)</f>
        <v>5850153</v>
      </c>
      <c r="BP82" s="246">
        <f t="shared" si="108"/>
        <v>1809217.8</v>
      </c>
      <c r="BQ82" s="246">
        <f t="shared" si="108"/>
        <v>0</v>
      </c>
      <c r="BR82" s="246">
        <f t="shared" si="108"/>
        <v>1092929</v>
      </c>
      <c r="BS82" s="246">
        <f t="shared" si="108"/>
        <v>6175000</v>
      </c>
      <c r="BT82" s="246">
        <f>SUM(BT68:BT81)</f>
        <v>111612635.8</v>
      </c>
    </row>
    <row r="84" spans="1:72" x14ac:dyDescent="0.25">
      <c r="A84" s="204"/>
      <c r="B84" s="247" t="s">
        <v>309</v>
      </c>
      <c r="C84" s="247" t="s">
        <v>310</v>
      </c>
      <c r="D84" s="247" t="s">
        <v>311</v>
      </c>
      <c r="E84" s="248" t="str">
        <f>E67</f>
        <v>Other</v>
      </c>
      <c r="F84" s="247" t="s">
        <v>313</v>
      </c>
      <c r="G84" s="247" t="s">
        <v>314</v>
      </c>
      <c r="H84" s="247" t="s">
        <v>59</v>
      </c>
      <c r="J84" s="247" t="s">
        <v>309</v>
      </c>
      <c r="K84" s="247" t="s">
        <v>310</v>
      </c>
      <c r="L84" s="247" t="s">
        <v>311</v>
      </c>
      <c r="M84" s="248" t="str">
        <f>M67</f>
        <v>Other</v>
      </c>
      <c r="N84" s="247" t="s">
        <v>313</v>
      </c>
      <c r="O84" s="247" t="s">
        <v>314</v>
      </c>
      <c r="P84" s="248" t="str">
        <f>P67</f>
        <v>Cadence</v>
      </c>
      <c r="R84" s="247" t="s">
        <v>309</v>
      </c>
      <c r="S84" s="247" t="s">
        <v>310</v>
      </c>
      <c r="T84" s="247" t="s">
        <v>311</v>
      </c>
      <c r="U84" s="248" t="str">
        <f>U67</f>
        <v>Other</v>
      </c>
      <c r="V84" s="247" t="s">
        <v>313</v>
      </c>
      <c r="W84" s="247" t="s">
        <v>314</v>
      </c>
      <c r="X84" s="248" t="str">
        <f>X67</f>
        <v>St. Rose</v>
      </c>
      <c r="Z84" s="247" t="s">
        <v>309</v>
      </c>
      <c r="AA84" s="247" t="s">
        <v>310</v>
      </c>
      <c r="AB84" s="247" t="s">
        <v>311</v>
      </c>
      <c r="AC84" s="248" t="str">
        <f>AC67</f>
        <v>Other</v>
      </c>
      <c r="AD84" s="247" t="s">
        <v>313</v>
      </c>
      <c r="AE84" s="247" t="s">
        <v>314</v>
      </c>
      <c r="AF84" s="248" t="str">
        <f>AF67</f>
        <v>Inspirada</v>
      </c>
      <c r="AH84" s="247" t="s">
        <v>309</v>
      </c>
      <c r="AI84" s="247" t="s">
        <v>310</v>
      </c>
      <c r="AJ84" s="247" t="s">
        <v>311</v>
      </c>
      <c r="AK84" s="248" t="str">
        <f>AK67</f>
        <v>Other</v>
      </c>
      <c r="AL84" s="247" t="s">
        <v>313</v>
      </c>
      <c r="AM84" s="247" t="s">
        <v>314</v>
      </c>
      <c r="AN84" s="248" t="str">
        <f>AN67</f>
        <v>Sloan</v>
      </c>
      <c r="AP84" s="247" t="s">
        <v>309</v>
      </c>
      <c r="AQ84" s="247" t="s">
        <v>310</v>
      </c>
      <c r="AR84" s="247" t="s">
        <v>311</v>
      </c>
      <c r="AS84" s="248" t="str">
        <f>AS67</f>
        <v>Other</v>
      </c>
      <c r="AT84" s="247" t="s">
        <v>313</v>
      </c>
      <c r="AU84" s="247" t="s">
        <v>314</v>
      </c>
      <c r="AV84" s="248" t="str">
        <f>AV67</f>
        <v>Springs</v>
      </c>
      <c r="AX84" s="247" t="s">
        <v>309</v>
      </c>
      <c r="AY84" s="247" t="s">
        <v>310</v>
      </c>
      <c r="AZ84" s="247" t="s">
        <v>311</v>
      </c>
      <c r="BA84" s="248" t="str">
        <f>BA67</f>
        <v>Other</v>
      </c>
      <c r="BB84" s="247" t="s">
        <v>313</v>
      </c>
      <c r="BC84" s="247" t="s">
        <v>314</v>
      </c>
      <c r="BD84" s="248" t="str">
        <f>BD67</f>
        <v>Virtual</v>
      </c>
      <c r="BF84" s="247" t="s">
        <v>309</v>
      </c>
      <c r="BG84" s="247" t="s">
        <v>310</v>
      </c>
      <c r="BH84" s="247" t="s">
        <v>311</v>
      </c>
      <c r="BI84" s="248" t="str">
        <f>BI67</f>
        <v>Other</v>
      </c>
      <c r="BJ84" s="247" t="s">
        <v>313</v>
      </c>
      <c r="BK84" s="247" t="s">
        <v>314</v>
      </c>
      <c r="BL84" s="248" t="str">
        <f>BL67</f>
        <v>Central</v>
      </c>
      <c r="BN84" s="247" t="s">
        <v>309</v>
      </c>
      <c r="BO84" s="247" t="s">
        <v>310</v>
      </c>
      <c r="BP84" s="247" t="s">
        <v>311</v>
      </c>
      <c r="BQ84" s="248" t="str">
        <f>BQ67</f>
        <v>Other</v>
      </c>
      <c r="BR84" s="247" t="s">
        <v>313</v>
      </c>
      <c r="BS84" s="247" t="s">
        <v>314</v>
      </c>
      <c r="BT84" s="248" t="str">
        <f>BT67</f>
        <v>System</v>
      </c>
    </row>
    <row r="85" spans="1:72" x14ac:dyDescent="0.25">
      <c r="A85" s="200" t="s">
        <v>229</v>
      </c>
      <c r="B85" s="249"/>
      <c r="C85" s="249"/>
      <c r="D85" s="249"/>
      <c r="E85" s="257"/>
      <c r="F85" s="249"/>
      <c r="G85" s="249"/>
      <c r="H85" s="241">
        <f>SUM(B85:G85)</f>
        <v>0</v>
      </c>
      <c r="J85" s="249"/>
      <c r="K85" s="249"/>
      <c r="L85" s="249"/>
      <c r="M85" s="257"/>
      <c r="N85" s="249"/>
      <c r="O85" s="249"/>
      <c r="P85" s="241">
        <f>SUM(J85:O85)</f>
        <v>0</v>
      </c>
      <c r="R85" s="249"/>
      <c r="S85" s="249"/>
      <c r="T85" s="249"/>
      <c r="U85" s="257"/>
      <c r="V85" s="249"/>
      <c r="W85" s="249"/>
      <c r="X85" s="241">
        <f>SUM(R85:W85)</f>
        <v>0</v>
      </c>
      <c r="Z85" s="249"/>
      <c r="AA85" s="249"/>
      <c r="AB85" s="249"/>
      <c r="AC85" s="257"/>
      <c r="AD85" s="249"/>
      <c r="AE85" s="249"/>
      <c r="AF85" s="241">
        <f>SUM(Z85:AE85)</f>
        <v>0</v>
      </c>
      <c r="AH85" s="249"/>
      <c r="AI85" s="249"/>
      <c r="AJ85" s="249"/>
      <c r="AK85" s="257"/>
      <c r="AL85" s="249"/>
      <c r="AM85" s="249"/>
      <c r="AN85" s="241">
        <f>SUM(AH85:AM85)</f>
        <v>0</v>
      </c>
      <c r="AP85" s="249"/>
      <c r="AQ85" s="249"/>
      <c r="AR85" s="249"/>
      <c r="AS85" s="257"/>
      <c r="AT85" s="249"/>
      <c r="AU85" s="249"/>
      <c r="AV85" s="241">
        <f>SUM(AP85:AU85)</f>
        <v>0</v>
      </c>
      <c r="AX85" s="249"/>
      <c r="AY85" s="249"/>
      <c r="AZ85" s="249"/>
      <c r="BA85" s="249"/>
      <c r="BB85" s="249"/>
      <c r="BC85" s="249"/>
      <c r="BD85" s="241">
        <f>SUM(AX85:BC85)</f>
        <v>0</v>
      </c>
      <c r="BF85" s="257"/>
      <c r="BG85" s="257"/>
      <c r="BH85" s="257"/>
      <c r="BI85" s="257">
        <v>0</v>
      </c>
      <c r="BJ85" s="257"/>
      <c r="BK85" s="257"/>
      <c r="BL85" s="241">
        <f>SUM(BF85:BK85)</f>
        <v>0</v>
      </c>
      <c r="BN85" s="241">
        <f>B85+J85+R85+Z85+AH85+AP85+AX85+BF85</f>
        <v>0</v>
      </c>
      <c r="BO85" s="241">
        <f t="shared" ref="BO85:BS87" si="109">C85+K85+S85+AA85+AI85+AQ85+AY85+BG85</f>
        <v>0</v>
      </c>
      <c r="BP85" s="241">
        <f t="shared" si="109"/>
        <v>0</v>
      </c>
      <c r="BQ85" s="241">
        <f t="shared" si="109"/>
        <v>0</v>
      </c>
      <c r="BR85" s="241">
        <f t="shared" si="109"/>
        <v>0</v>
      </c>
      <c r="BS85" s="241">
        <f t="shared" si="109"/>
        <v>0</v>
      </c>
      <c r="BT85" s="241">
        <f>SUM(BN85:BS85)</f>
        <v>0</v>
      </c>
    </row>
    <row r="86" spans="1:72" x14ac:dyDescent="0.25">
      <c r="A86" s="201" t="s">
        <v>230</v>
      </c>
      <c r="B86" s="250"/>
      <c r="C86" s="250"/>
      <c r="D86" s="250"/>
      <c r="E86" s="250"/>
      <c r="F86" s="250"/>
      <c r="G86" s="250"/>
      <c r="H86" s="241">
        <f t="shared" ref="H86:H87" si="110">SUM(B86:G86)</f>
        <v>0</v>
      </c>
      <c r="J86" s="250"/>
      <c r="K86" s="250"/>
      <c r="L86" s="250"/>
      <c r="M86" s="250"/>
      <c r="N86" s="250"/>
      <c r="O86" s="250"/>
      <c r="P86" s="241">
        <f t="shared" ref="P86:P87" si="111">SUM(J86:O86)</f>
        <v>0</v>
      </c>
      <c r="R86" s="250"/>
      <c r="S86" s="250"/>
      <c r="T86" s="250"/>
      <c r="U86" s="250"/>
      <c r="V86" s="250"/>
      <c r="W86" s="250"/>
      <c r="X86" s="241">
        <f t="shared" ref="X86:X87" si="112">SUM(R86:W86)</f>
        <v>0</v>
      </c>
      <c r="Z86" s="250"/>
      <c r="AA86" s="250"/>
      <c r="AB86" s="250"/>
      <c r="AC86" s="250"/>
      <c r="AD86" s="250"/>
      <c r="AE86" s="250"/>
      <c r="AF86" s="241">
        <f t="shared" ref="AF86:AF87" si="113">SUM(Z86:AE86)</f>
        <v>0</v>
      </c>
      <c r="AH86" s="250"/>
      <c r="AI86" s="250"/>
      <c r="AJ86" s="250"/>
      <c r="AK86" s="250"/>
      <c r="AL86" s="250"/>
      <c r="AM86" s="250"/>
      <c r="AN86" s="241">
        <f t="shared" ref="AN86:AN87" si="114">SUM(AH86:AM86)</f>
        <v>0</v>
      </c>
      <c r="AP86" s="250"/>
      <c r="AQ86" s="250"/>
      <c r="AR86" s="250"/>
      <c r="AS86" s="244"/>
      <c r="AT86" s="250"/>
      <c r="AU86" s="250"/>
      <c r="AV86" s="241">
        <f t="shared" ref="AV86:AV87" si="115">SUM(AP86:AU86)</f>
        <v>0</v>
      </c>
      <c r="AX86" s="250"/>
      <c r="AY86" s="250"/>
      <c r="AZ86" s="250"/>
      <c r="BA86" s="250"/>
      <c r="BB86" s="250"/>
      <c r="BC86" s="250"/>
      <c r="BD86" s="241">
        <f t="shared" ref="BD86:BD87" si="116">SUM(AX86:BC86)</f>
        <v>0</v>
      </c>
      <c r="BF86" s="244"/>
      <c r="BG86" s="244"/>
      <c r="BH86" s="244"/>
      <c r="BI86" s="244"/>
      <c r="BJ86" s="244"/>
      <c r="BK86" s="244"/>
      <c r="BL86" s="241">
        <f t="shared" ref="BL86:BL87" si="117">SUM(BF86:BK86)</f>
        <v>0</v>
      </c>
      <c r="BN86" s="241">
        <f t="shared" ref="BN86:BN87" si="118">B86+J86+R86+Z86+AH86+AP86+AX86+BF86</f>
        <v>0</v>
      </c>
      <c r="BO86" s="241">
        <f t="shared" si="109"/>
        <v>0</v>
      </c>
      <c r="BP86" s="241">
        <f t="shared" si="109"/>
        <v>0</v>
      </c>
      <c r="BQ86" s="241">
        <f t="shared" si="109"/>
        <v>0</v>
      </c>
      <c r="BR86" s="241">
        <f t="shared" si="109"/>
        <v>0</v>
      </c>
      <c r="BS86" s="241">
        <f t="shared" si="109"/>
        <v>0</v>
      </c>
      <c r="BT86" s="241">
        <f t="shared" ref="BT86:BT87" si="119">SUM(BN86:BS86)</f>
        <v>0</v>
      </c>
    </row>
    <row r="87" spans="1:72" x14ac:dyDescent="0.25">
      <c r="A87" s="202" t="s">
        <v>231</v>
      </c>
      <c r="B87" s="251"/>
      <c r="C87" s="251"/>
      <c r="D87" s="251"/>
      <c r="E87" s="251"/>
      <c r="F87" s="251"/>
      <c r="G87" s="251"/>
      <c r="H87" s="241">
        <f t="shared" si="110"/>
        <v>0</v>
      </c>
      <c r="J87" s="251"/>
      <c r="K87" s="251"/>
      <c r="L87" s="251"/>
      <c r="M87" s="251"/>
      <c r="N87" s="251"/>
      <c r="O87" s="251"/>
      <c r="P87" s="241">
        <f t="shared" si="111"/>
        <v>0</v>
      </c>
      <c r="R87" s="251"/>
      <c r="S87" s="251"/>
      <c r="T87" s="251"/>
      <c r="U87" s="251"/>
      <c r="V87" s="251"/>
      <c r="W87" s="251"/>
      <c r="X87" s="241">
        <f t="shared" si="112"/>
        <v>0</v>
      </c>
      <c r="Z87" s="251"/>
      <c r="AA87" s="251"/>
      <c r="AB87" s="251"/>
      <c r="AC87" s="251"/>
      <c r="AD87" s="251"/>
      <c r="AE87" s="251"/>
      <c r="AF87" s="241">
        <f t="shared" si="113"/>
        <v>0</v>
      </c>
      <c r="AH87" s="251"/>
      <c r="AI87" s="251"/>
      <c r="AJ87" s="251"/>
      <c r="AK87" s="251"/>
      <c r="AL87" s="251"/>
      <c r="AM87" s="251"/>
      <c r="AN87" s="241">
        <f t="shared" si="114"/>
        <v>0</v>
      </c>
      <c r="AP87" s="251"/>
      <c r="AQ87" s="251"/>
      <c r="AR87" s="251"/>
      <c r="AS87" s="245"/>
      <c r="AT87" s="251"/>
      <c r="AU87" s="251"/>
      <c r="AV87" s="241">
        <f t="shared" si="115"/>
        <v>0</v>
      </c>
      <c r="AX87" s="251"/>
      <c r="AY87" s="251"/>
      <c r="AZ87" s="251"/>
      <c r="BA87" s="251"/>
      <c r="BB87" s="251"/>
      <c r="BC87" s="251"/>
      <c r="BD87" s="241">
        <f t="shared" si="116"/>
        <v>0</v>
      </c>
      <c r="BF87" s="245"/>
      <c r="BG87" s="245"/>
      <c r="BH87" s="245"/>
      <c r="BI87" s="245"/>
      <c r="BJ87" s="245"/>
      <c r="BK87" s="245"/>
      <c r="BL87" s="241">
        <f t="shared" si="117"/>
        <v>0</v>
      </c>
      <c r="BN87" s="241">
        <f t="shared" si="118"/>
        <v>0</v>
      </c>
      <c r="BO87" s="241">
        <f t="shared" si="109"/>
        <v>0</v>
      </c>
      <c r="BP87" s="241">
        <f t="shared" si="109"/>
        <v>0</v>
      </c>
      <c r="BQ87" s="241">
        <f t="shared" si="109"/>
        <v>0</v>
      </c>
      <c r="BR87" s="241">
        <f t="shared" si="109"/>
        <v>0</v>
      </c>
      <c r="BS87" s="241">
        <f t="shared" si="109"/>
        <v>0</v>
      </c>
      <c r="BT87" s="241">
        <f t="shared" si="119"/>
        <v>0</v>
      </c>
    </row>
    <row r="88" spans="1:72" x14ac:dyDescent="0.25">
      <c r="A88" s="204"/>
      <c r="B88" s="252">
        <f>SUM(B85:B87)</f>
        <v>0</v>
      </c>
      <c r="C88" s="252">
        <f t="shared" ref="C88:G88" si="120">SUM(C85:C87)</f>
        <v>0</v>
      </c>
      <c r="D88" s="252">
        <f t="shared" si="120"/>
        <v>0</v>
      </c>
      <c r="E88" s="272">
        <f t="shared" si="120"/>
        <v>0</v>
      </c>
      <c r="F88" s="252">
        <f t="shared" si="120"/>
        <v>0</v>
      </c>
      <c r="G88" s="252">
        <f t="shared" si="120"/>
        <v>0</v>
      </c>
      <c r="H88" s="252">
        <f>SUM(H85:H87)</f>
        <v>0</v>
      </c>
      <c r="J88" s="252">
        <f>SUM(J85:J87)</f>
        <v>0</v>
      </c>
      <c r="K88" s="252">
        <f t="shared" ref="K88:O88" si="121">SUM(K85:K87)</f>
        <v>0</v>
      </c>
      <c r="L88" s="252">
        <f t="shared" si="121"/>
        <v>0</v>
      </c>
      <c r="M88" s="272">
        <f t="shared" si="121"/>
        <v>0</v>
      </c>
      <c r="N88" s="252">
        <f t="shared" si="121"/>
        <v>0</v>
      </c>
      <c r="O88" s="252">
        <f t="shared" si="121"/>
        <v>0</v>
      </c>
      <c r="P88" s="272">
        <f>SUM(P85:P87)</f>
        <v>0</v>
      </c>
      <c r="R88" s="252">
        <f>SUM(R85:R87)</f>
        <v>0</v>
      </c>
      <c r="S88" s="252">
        <f t="shared" ref="S88:W88" si="122">SUM(S85:S87)</f>
        <v>0</v>
      </c>
      <c r="T88" s="252">
        <f t="shared" si="122"/>
        <v>0</v>
      </c>
      <c r="U88" s="272">
        <f t="shared" si="122"/>
        <v>0</v>
      </c>
      <c r="V88" s="272">
        <f t="shared" si="122"/>
        <v>0</v>
      </c>
      <c r="W88" s="272">
        <f t="shared" si="122"/>
        <v>0</v>
      </c>
      <c r="X88" s="272">
        <f>SUM(X85:X87)</f>
        <v>0</v>
      </c>
      <c r="Z88" s="252">
        <f>SUM(Z85:Z87)</f>
        <v>0</v>
      </c>
      <c r="AA88" s="252">
        <f t="shared" ref="AA88:AE88" si="123">SUM(AA85:AA87)</f>
        <v>0</v>
      </c>
      <c r="AB88" s="252">
        <f t="shared" si="123"/>
        <v>0</v>
      </c>
      <c r="AC88" s="272">
        <f t="shared" si="123"/>
        <v>0</v>
      </c>
      <c r="AD88" s="252">
        <f t="shared" si="123"/>
        <v>0</v>
      </c>
      <c r="AE88" s="252">
        <f t="shared" si="123"/>
        <v>0</v>
      </c>
      <c r="AF88" s="252">
        <f>SUM(AF85:AF87)</f>
        <v>0</v>
      </c>
      <c r="AH88" s="252">
        <f>SUM(AH85:AH87)</f>
        <v>0</v>
      </c>
      <c r="AI88" s="252">
        <f t="shared" ref="AI88:AM88" si="124">SUM(AI85:AI87)</f>
        <v>0</v>
      </c>
      <c r="AJ88" s="252">
        <f t="shared" si="124"/>
        <v>0</v>
      </c>
      <c r="AK88" s="252">
        <f t="shared" si="124"/>
        <v>0</v>
      </c>
      <c r="AL88" s="252">
        <f t="shared" si="124"/>
        <v>0</v>
      </c>
      <c r="AM88" s="252">
        <f t="shared" si="124"/>
        <v>0</v>
      </c>
      <c r="AN88" s="252">
        <f>SUM(AN85:AN87)</f>
        <v>0</v>
      </c>
      <c r="AP88" s="252">
        <f>SUM(AP85:AP87)</f>
        <v>0</v>
      </c>
      <c r="AQ88" s="252">
        <f t="shared" ref="AQ88:AU88" si="125">SUM(AQ85:AQ87)</f>
        <v>0</v>
      </c>
      <c r="AR88" s="252">
        <f t="shared" si="125"/>
        <v>0</v>
      </c>
      <c r="AS88" s="272">
        <f t="shared" si="125"/>
        <v>0</v>
      </c>
      <c r="AT88" s="252">
        <f t="shared" si="125"/>
        <v>0</v>
      </c>
      <c r="AU88" s="252">
        <f t="shared" si="125"/>
        <v>0</v>
      </c>
      <c r="AV88" s="252">
        <f>SUM(AV85:AV87)</f>
        <v>0</v>
      </c>
      <c r="AX88" s="252">
        <f>SUM(AX85:AX87)</f>
        <v>0</v>
      </c>
      <c r="AY88" s="252">
        <f t="shared" ref="AY88:BC88" si="126">SUM(AY85:AY87)</f>
        <v>0</v>
      </c>
      <c r="AZ88" s="252">
        <f t="shared" si="126"/>
        <v>0</v>
      </c>
      <c r="BA88" s="252">
        <f t="shared" si="126"/>
        <v>0</v>
      </c>
      <c r="BB88" s="252">
        <f t="shared" si="126"/>
        <v>0</v>
      </c>
      <c r="BC88" s="252">
        <f t="shared" si="126"/>
        <v>0</v>
      </c>
      <c r="BD88" s="252">
        <f>SUM(BD85:BD87)</f>
        <v>0</v>
      </c>
      <c r="BF88" s="272">
        <f>SUM(BF85:BF87)</f>
        <v>0</v>
      </c>
      <c r="BG88" s="272">
        <f t="shared" ref="BG88:BK88" si="127">SUM(BG85:BG87)</f>
        <v>0</v>
      </c>
      <c r="BH88" s="272">
        <f t="shared" si="127"/>
        <v>0</v>
      </c>
      <c r="BI88" s="272">
        <f t="shared" si="127"/>
        <v>0</v>
      </c>
      <c r="BJ88" s="272">
        <f t="shared" si="127"/>
        <v>0</v>
      </c>
      <c r="BK88" s="272">
        <f t="shared" si="127"/>
        <v>0</v>
      </c>
      <c r="BL88" s="252">
        <f>SUM(BL85:BL87)</f>
        <v>0</v>
      </c>
      <c r="BN88" s="272">
        <f>SUM(BN85:BN87)</f>
        <v>0</v>
      </c>
      <c r="BO88" s="272">
        <f t="shared" ref="BO88:BS88" si="128">SUM(BO85:BO87)</f>
        <v>0</v>
      </c>
      <c r="BP88" s="272">
        <f t="shared" si="128"/>
        <v>0</v>
      </c>
      <c r="BQ88" s="272">
        <f t="shared" si="128"/>
        <v>0</v>
      </c>
      <c r="BR88" s="272">
        <f t="shared" si="128"/>
        <v>0</v>
      </c>
      <c r="BS88" s="272">
        <f t="shared" si="128"/>
        <v>0</v>
      </c>
      <c r="BT88" s="252">
        <f>SUM(BT85:BT87)</f>
        <v>0</v>
      </c>
    </row>
    <row r="89" spans="1:72" x14ac:dyDescent="0.25">
      <c r="AS89" s="259"/>
    </row>
    <row r="90" spans="1:72" ht="16.5" thickBot="1" x14ac:dyDescent="0.3"/>
    <row r="91" spans="1:72" x14ac:dyDescent="0.25">
      <c r="A91" s="205" t="s">
        <v>328</v>
      </c>
      <c r="B91" s="253" t="s">
        <v>309</v>
      </c>
      <c r="C91" s="253" t="s">
        <v>310</v>
      </c>
      <c r="D91" s="253" t="s">
        <v>311</v>
      </c>
      <c r="E91" s="254" t="str">
        <f>E84</f>
        <v>Other</v>
      </c>
      <c r="F91" s="253" t="s">
        <v>313</v>
      </c>
      <c r="G91" s="253" t="s">
        <v>314</v>
      </c>
      <c r="H91" s="255" t="s">
        <v>59</v>
      </c>
      <c r="J91" s="253" t="s">
        <v>309</v>
      </c>
      <c r="K91" s="253" t="s">
        <v>310</v>
      </c>
      <c r="L91" s="253" t="s">
        <v>311</v>
      </c>
      <c r="M91" s="254" t="str">
        <f>M84</f>
        <v>Other</v>
      </c>
      <c r="N91" s="253" t="s">
        <v>313</v>
      </c>
      <c r="O91" s="253" t="s">
        <v>314</v>
      </c>
      <c r="P91" s="275" t="str">
        <f>P84</f>
        <v>Cadence</v>
      </c>
      <c r="R91" s="253" t="s">
        <v>309</v>
      </c>
      <c r="S91" s="253" t="s">
        <v>310</v>
      </c>
      <c r="T91" s="253" t="s">
        <v>311</v>
      </c>
      <c r="U91" s="254" t="str">
        <f>U84</f>
        <v>Other</v>
      </c>
      <c r="V91" s="253" t="s">
        <v>313</v>
      </c>
      <c r="W91" s="253" t="s">
        <v>314</v>
      </c>
      <c r="X91" s="275" t="str">
        <f>X84</f>
        <v>St. Rose</v>
      </c>
      <c r="Z91" s="253" t="s">
        <v>309</v>
      </c>
      <c r="AA91" s="253" t="s">
        <v>310</v>
      </c>
      <c r="AB91" s="253" t="s">
        <v>311</v>
      </c>
      <c r="AC91" s="254" t="str">
        <f>AC84</f>
        <v>Other</v>
      </c>
      <c r="AD91" s="253" t="s">
        <v>313</v>
      </c>
      <c r="AE91" s="253" t="s">
        <v>314</v>
      </c>
      <c r="AF91" s="275" t="str">
        <f>AF84</f>
        <v>Inspirada</v>
      </c>
      <c r="AH91" s="253" t="s">
        <v>309</v>
      </c>
      <c r="AI91" s="253" t="s">
        <v>310</v>
      </c>
      <c r="AJ91" s="253" t="s">
        <v>311</v>
      </c>
      <c r="AK91" s="254" t="str">
        <f>AK84</f>
        <v>Other</v>
      </c>
      <c r="AL91" s="253" t="s">
        <v>313</v>
      </c>
      <c r="AM91" s="253" t="s">
        <v>314</v>
      </c>
      <c r="AN91" s="275" t="str">
        <f>AN84</f>
        <v>Sloan</v>
      </c>
      <c r="AP91" s="253" t="s">
        <v>309</v>
      </c>
      <c r="AQ91" s="253" t="s">
        <v>310</v>
      </c>
      <c r="AR91" s="253" t="s">
        <v>311</v>
      </c>
      <c r="AS91" s="254" t="str">
        <f>AS84</f>
        <v>Other</v>
      </c>
      <c r="AT91" s="253" t="s">
        <v>313</v>
      </c>
      <c r="AU91" s="253" t="s">
        <v>314</v>
      </c>
      <c r="AV91" s="275" t="str">
        <f>AV84</f>
        <v>Springs</v>
      </c>
      <c r="AX91" s="253" t="s">
        <v>309</v>
      </c>
      <c r="AY91" s="253" t="s">
        <v>310</v>
      </c>
      <c r="AZ91" s="253" t="s">
        <v>311</v>
      </c>
      <c r="BA91" s="254" t="str">
        <f>BA84</f>
        <v>Other</v>
      </c>
      <c r="BB91" s="253" t="s">
        <v>313</v>
      </c>
      <c r="BC91" s="253" t="s">
        <v>314</v>
      </c>
      <c r="BD91" s="275" t="str">
        <f>BD84</f>
        <v>Virtual</v>
      </c>
      <c r="BF91" s="253" t="s">
        <v>309</v>
      </c>
      <c r="BG91" s="253" t="s">
        <v>310</v>
      </c>
      <c r="BH91" s="253" t="s">
        <v>311</v>
      </c>
      <c r="BI91" s="254" t="str">
        <f>BI84</f>
        <v>Other</v>
      </c>
      <c r="BJ91" s="253" t="s">
        <v>313</v>
      </c>
      <c r="BK91" s="253" t="s">
        <v>314</v>
      </c>
      <c r="BL91" s="275" t="str">
        <f>BL84</f>
        <v>Central</v>
      </c>
      <c r="BN91" s="253" t="s">
        <v>309</v>
      </c>
      <c r="BO91" s="253" t="s">
        <v>310</v>
      </c>
      <c r="BP91" s="253" t="s">
        <v>311</v>
      </c>
      <c r="BQ91" s="254" t="str">
        <f>BQ84</f>
        <v>Other</v>
      </c>
      <c r="BR91" s="253" t="s">
        <v>313</v>
      </c>
      <c r="BS91" s="253" t="s">
        <v>314</v>
      </c>
      <c r="BT91" s="275" t="str">
        <f>BT84</f>
        <v>System</v>
      </c>
    </row>
    <row r="92" spans="1:72" x14ac:dyDescent="0.25">
      <c r="A92" s="206" t="s">
        <v>327</v>
      </c>
      <c r="B92" s="256"/>
      <c r="C92" s="256"/>
      <c r="D92" s="256"/>
      <c r="E92" s="256"/>
      <c r="F92" s="256"/>
      <c r="G92" s="256"/>
      <c r="H92" s="256"/>
      <c r="J92" s="256"/>
      <c r="K92" s="256"/>
      <c r="L92" s="256"/>
      <c r="M92" s="256"/>
      <c r="N92" s="256"/>
      <c r="O92" s="256"/>
      <c r="P92" s="256"/>
      <c r="R92" s="256"/>
      <c r="S92" s="256"/>
      <c r="T92" s="256"/>
      <c r="U92" s="256"/>
      <c r="V92" s="256"/>
      <c r="W92" s="256"/>
      <c r="X92" s="256"/>
      <c r="Z92" s="256"/>
      <c r="AA92" s="256"/>
      <c r="AB92" s="256"/>
      <c r="AC92" s="256"/>
      <c r="AD92" s="256"/>
      <c r="AE92" s="256"/>
      <c r="AF92" s="256"/>
      <c r="AH92" s="256"/>
      <c r="AI92" s="256"/>
      <c r="AJ92" s="256"/>
      <c r="AK92" s="256"/>
      <c r="AL92" s="256"/>
      <c r="AM92" s="256"/>
      <c r="AN92" s="256"/>
      <c r="AP92" s="256"/>
      <c r="AQ92" s="256"/>
      <c r="AR92" s="256"/>
      <c r="AS92" s="256"/>
      <c r="AT92" s="256"/>
      <c r="AU92" s="256"/>
      <c r="AV92" s="256"/>
      <c r="AX92" s="256"/>
      <c r="AY92" s="256"/>
      <c r="AZ92" s="256"/>
      <c r="BA92" s="256"/>
      <c r="BB92" s="256"/>
      <c r="BC92" s="256"/>
      <c r="BD92" s="256"/>
      <c r="BF92" s="256"/>
      <c r="BG92" s="256"/>
      <c r="BH92" s="256"/>
      <c r="BI92" s="256"/>
      <c r="BJ92" s="256"/>
      <c r="BK92" s="256"/>
      <c r="BL92" s="256"/>
      <c r="BN92" s="256"/>
      <c r="BO92" s="256"/>
      <c r="BP92" s="256"/>
      <c r="BQ92" s="256"/>
      <c r="BR92" s="256"/>
      <c r="BS92" s="256"/>
      <c r="BT92" s="256"/>
    </row>
    <row r="93" spans="1:72" x14ac:dyDescent="0.25">
      <c r="A93" s="200" t="s">
        <v>53</v>
      </c>
      <c r="B93" s="241">
        <f>163728*1.03*1.02*1.02*1.02</f>
        <v>178961.94732671999</v>
      </c>
      <c r="C93" s="257"/>
      <c r="D93" s="257"/>
      <c r="E93" s="257"/>
      <c r="F93" s="257"/>
      <c r="G93" s="257"/>
      <c r="H93" s="241">
        <f>SUM(B93:G93)</f>
        <v>178961.94732671999</v>
      </c>
      <c r="J93" s="241">
        <f>170130*1.03*1.02*1.02*1.02</f>
        <v>185959.61655120002</v>
      </c>
      <c r="K93" s="257"/>
      <c r="L93" s="257"/>
      <c r="M93" s="257"/>
      <c r="N93" s="257"/>
      <c r="O93" s="257"/>
      <c r="P93" s="241">
        <f>SUM(J93:O93)</f>
        <v>185959.61655120002</v>
      </c>
      <c r="R93" s="257">
        <f>159474*1.03*1.02*1.02*1.02</f>
        <v>174312.13712976</v>
      </c>
      <c r="S93" s="257"/>
      <c r="T93" s="257"/>
      <c r="U93" s="257"/>
      <c r="V93" s="257"/>
      <c r="W93" s="257"/>
      <c r="X93" s="241">
        <f>SUM(R93:W93)</f>
        <v>174312.13712976</v>
      </c>
      <c r="Z93" s="257">
        <f>223452*1.03*1.02*1.02*1.02</f>
        <v>244242.92151648001</v>
      </c>
      <c r="AA93" s="257"/>
      <c r="AB93" s="257"/>
      <c r="AC93" s="257"/>
      <c r="AD93" s="257"/>
      <c r="AE93" s="257"/>
      <c r="AF93" s="241">
        <f>SUM(Z93:AE93)</f>
        <v>244242.92151648001</v>
      </c>
      <c r="AH93" s="241">
        <f>180277*1.02*1.02*1.02</f>
        <v>191311.39461600001</v>
      </c>
      <c r="AI93" s="257"/>
      <c r="AJ93" s="257"/>
      <c r="AK93" s="257"/>
      <c r="AL93" s="257"/>
      <c r="AM93" s="257"/>
      <c r="AN93" s="241">
        <f>SUM(AH93:AM93)</f>
        <v>191311.39461600001</v>
      </c>
      <c r="AP93" s="257">
        <f>135000*1.03*1.02*1.02</f>
        <v>144667.62</v>
      </c>
      <c r="AQ93" s="257"/>
      <c r="AR93" s="257"/>
      <c r="AS93" s="257"/>
      <c r="AT93" s="257"/>
      <c r="AU93" s="257"/>
      <c r="AV93" s="241">
        <f>SUM(AP93:AU93)</f>
        <v>144667.62</v>
      </c>
      <c r="AX93" s="257"/>
      <c r="AY93" s="257"/>
      <c r="AZ93" s="257"/>
      <c r="BA93" s="257"/>
      <c r="BB93" s="257"/>
      <c r="BC93" s="257"/>
      <c r="BD93" s="241">
        <f>SUM(AX93:BC93)</f>
        <v>0</v>
      </c>
      <c r="BF93" s="257"/>
      <c r="BG93" s="257"/>
      <c r="BH93" s="257"/>
      <c r="BI93" s="257"/>
      <c r="BJ93" s="257"/>
      <c r="BK93" s="257"/>
      <c r="BL93" s="241">
        <f>SUM(BF93:BK93)</f>
        <v>0</v>
      </c>
      <c r="BN93" s="241">
        <f>B93+J93+R93+Z93+AH93+AP93+AX93+BF93</f>
        <v>1119455.63714016</v>
      </c>
      <c r="BO93" s="241">
        <f t="shared" ref="BO93:BS108" si="129">C93+K93+S93+AA93+AI93+AQ93+AY93+BG93</f>
        <v>0</v>
      </c>
      <c r="BP93" s="241">
        <f t="shared" si="129"/>
        <v>0</v>
      </c>
      <c r="BQ93" s="241">
        <f t="shared" si="129"/>
        <v>0</v>
      </c>
      <c r="BR93" s="241">
        <f t="shared" si="129"/>
        <v>0</v>
      </c>
      <c r="BS93" s="241">
        <f t="shared" si="129"/>
        <v>0</v>
      </c>
      <c r="BT93" s="241">
        <f>SUM(BN93:BS93)</f>
        <v>1119455.63714016</v>
      </c>
    </row>
    <row r="94" spans="1:72" x14ac:dyDescent="0.25">
      <c r="A94" s="201" t="s">
        <v>232</v>
      </c>
      <c r="B94" s="244">
        <f>(102000+102000)*1.01*1.01*1.01</f>
        <v>210181.40400000001</v>
      </c>
      <c r="C94" s="244">
        <f>92000*1.01*1.01*1.01</f>
        <v>94787.691999999995</v>
      </c>
      <c r="D94" s="244"/>
      <c r="E94" s="244"/>
      <c r="F94" s="244"/>
      <c r="G94" s="244"/>
      <c r="H94" s="241">
        <f t="shared" ref="H94:H115" si="130">SUM(B94:G94)</f>
        <v>304969.09600000002</v>
      </c>
      <c r="J94" s="244">
        <f>(96050+114500+117100+89715+100000+120000)*1.01*1.01*1.01</f>
        <v>656677.79686500004</v>
      </c>
      <c r="K94" s="244"/>
      <c r="L94" s="244"/>
      <c r="M94" s="244"/>
      <c r="N94" s="244"/>
      <c r="O94" s="244"/>
      <c r="P94" s="241">
        <f t="shared" ref="P94:P115" si="131">SUM(J94:O94)</f>
        <v>656677.79686500004</v>
      </c>
      <c r="R94" s="244">
        <f>(107000+101000+105000)*1.01*1.01*1.01</f>
        <v>322484.21299999999</v>
      </c>
      <c r="S94" s="244"/>
      <c r="T94" s="244"/>
      <c r="U94" s="244"/>
      <c r="V94" s="244"/>
      <c r="W94" s="244"/>
      <c r="X94" s="241">
        <f t="shared" ref="X94:X115" si="132">SUM(R94:W94)</f>
        <v>322484.21299999999</v>
      </c>
      <c r="Z94" s="244">
        <f>(116390+90640)*1.01*1.01*1.01</f>
        <v>213303.21602999998</v>
      </c>
      <c r="AA94" s="244"/>
      <c r="AB94" s="244"/>
      <c r="AC94" s="244"/>
      <c r="AD94" s="244"/>
      <c r="AE94" s="244"/>
      <c r="AF94" s="241">
        <f t="shared" ref="AF94:AF115" si="133">SUM(Z94:AE94)</f>
        <v>213303.21602999998</v>
      </c>
      <c r="AH94" s="244">
        <f>(122000+107000+107000+97000)*1.01*1.01*1.01</f>
        <v>446120.33299999998</v>
      </c>
      <c r="AI94" s="244"/>
      <c r="AJ94" s="244"/>
      <c r="AK94" s="244"/>
      <c r="AL94" s="244"/>
      <c r="AM94" s="244"/>
      <c r="AN94" s="241">
        <f t="shared" ref="AN94:AN115" si="134">SUM(AH94:AM94)</f>
        <v>446120.33299999998</v>
      </c>
      <c r="AP94" s="244">
        <f>(90000+90000)*1.01*1.01</f>
        <v>183618</v>
      </c>
      <c r="AQ94" s="244"/>
      <c r="AR94" s="244"/>
      <c r="AS94" s="244"/>
      <c r="AT94" s="244"/>
      <c r="AU94" s="244"/>
      <c r="AV94" s="241">
        <f t="shared" ref="AV94:AV115" si="135">SUM(AP94:AU94)</f>
        <v>183618</v>
      </c>
      <c r="AX94" s="244"/>
      <c r="AY94" s="244"/>
      <c r="AZ94" s="244"/>
      <c r="BA94" s="244"/>
      <c r="BB94" s="244"/>
      <c r="BC94" s="244"/>
      <c r="BD94" s="241">
        <f t="shared" ref="BD94:BD115" si="136">SUM(AX94:BC94)</f>
        <v>0</v>
      </c>
      <c r="BF94" s="244">
        <f>(92700+1500+1000)*1.01*1.01*1.01</f>
        <v>98084.655200000008</v>
      </c>
      <c r="BG94" s="244"/>
      <c r="BH94" s="244"/>
      <c r="BI94" s="244"/>
      <c r="BJ94" s="244"/>
      <c r="BK94" s="244"/>
      <c r="BL94" s="241">
        <f t="shared" ref="BL94:BL115" si="137">SUM(BF94:BK94)</f>
        <v>98084.655200000008</v>
      </c>
      <c r="BN94" s="241">
        <f t="shared" ref="BN94:BN108" si="138">B94+J94+R94+Z94+AH94+AP94+AX94+BF94</f>
        <v>2130469.6180949998</v>
      </c>
      <c r="BO94" s="241">
        <f t="shared" si="129"/>
        <v>94787.691999999995</v>
      </c>
      <c r="BP94" s="241">
        <f t="shared" si="129"/>
        <v>0</v>
      </c>
      <c r="BQ94" s="241">
        <f t="shared" si="129"/>
        <v>0</v>
      </c>
      <c r="BR94" s="241">
        <f t="shared" si="129"/>
        <v>0</v>
      </c>
      <c r="BS94" s="241">
        <f t="shared" si="129"/>
        <v>0</v>
      </c>
      <c r="BT94" s="241">
        <f t="shared" ref="BT94:BT96" si="139">SUM(BN94:BS94)</f>
        <v>2225257.3100949996</v>
      </c>
    </row>
    <row r="95" spans="1:72" x14ac:dyDescent="0.25">
      <c r="A95" s="201" t="s">
        <v>195</v>
      </c>
      <c r="B95" s="244"/>
      <c r="C95" s="244"/>
      <c r="D95" s="244"/>
      <c r="E95" s="244"/>
      <c r="F95" s="244"/>
      <c r="G95" s="244"/>
      <c r="H95" s="241">
        <f t="shared" si="130"/>
        <v>0</v>
      </c>
      <c r="J95" s="244">
        <f>(80500+81500+75050+80450+80000)*1.01*1.01*1.01</f>
        <v>409544.64750000002</v>
      </c>
      <c r="K95" s="244"/>
      <c r="L95" s="244"/>
      <c r="M95" s="244"/>
      <c r="N95" s="244"/>
      <c r="O95" s="244"/>
      <c r="P95" s="241">
        <f t="shared" si="131"/>
        <v>409544.64750000002</v>
      </c>
      <c r="R95" s="244">
        <f>87000*1.01*1.01*1.01</f>
        <v>89636.186999999991</v>
      </c>
      <c r="S95" s="244"/>
      <c r="T95" s="244"/>
      <c r="U95" s="244"/>
      <c r="V95" s="244"/>
      <c r="W95" s="244"/>
      <c r="X95" s="241">
        <f t="shared" si="132"/>
        <v>89636.186999999991</v>
      </c>
      <c r="Z95" s="244">
        <f>82400*1.01*1.01*1.01</f>
        <v>84896.8024</v>
      </c>
      <c r="AA95" s="244"/>
      <c r="AB95" s="244"/>
      <c r="AC95" s="244"/>
      <c r="AD95" s="244"/>
      <c r="AE95" s="244"/>
      <c r="AF95" s="241">
        <f t="shared" si="133"/>
        <v>84896.8024</v>
      </c>
      <c r="AH95" s="244">
        <f>(77500+75000+85000+82000)*1.01*1.01*1.01</f>
        <v>329181.16950000002</v>
      </c>
      <c r="AI95" s="244"/>
      <c r="AJ95" s="244"/>
      <c r="AK95" s="244"/>
      <c r="AL95" s="244"/>
      <c r="AM95" s="244"/>
      <c r="AN95" s="241">
        <f t="shared" si="134"/>
        <v>329181.16950000002</v>
      </c>
      <c r="AP95" s="244"/>
      <c r="AQ95" s="244"/>
      <c r="AR95" s="244"/>
      <c r="AS95" s="244"/>
      <c r="AT95" s="244"/>
      <c r="AU95" s="244"/>
      <c r="AV95" s="241">
        <f t="shared" si="135"/>
        <v>0</v>
      </c>
      <c r="AX95" s="244"/>
      <c r="AY95" s="244"/>
      <c r="AZ95" s="244"/>
      <c r="BA95" s="244"/>
      <c r="BB95" s="244"/>
      <c r="BC95" s="244"/>
      <c r="BD95" s="241">
        <f t="shared" si="136"/>
        <v>0</v>
      </c>
      <c r="BF95" s="244"/>
      <c r="BG95" s="244"/>
      <c r="BH95" s="244"/>
      <c r="BI95" s="244"/>
      <c r="BJ95" s="244"/>
      <c r="BK95" s="244"/>
      <c r="BL95" s="241">
        <f t="shared" si="137"/>
        <v>0</v>
      </c>
      <c r="BN95" s="241">
        <f t="shared" si="138"/>
        <v>913258.80640000012</v>
      </c>
      <c r="BO95" s="241">
        <f t="shared" si="129"/>
        <v>0</v>
      </c>
      <c r="BP95" s="241">
        <f t="shared" si="129"/>
        <v>0</v>
      </c>
      <c r="BQ95" s="241">
        <f t="shared" si="129"/>
        <v>0</v>
      </c>
      <c r="BR95" s="241">
        <f t="shared" si="129"/>
        <v>0</v>
      </c>
      <c r="BS95" s="241">
        <f t="shared" si="129"/>
        <v>0</v>
      </c>
      <c r="BT95" s="241">
        <f t="shared" si="139"/>
        <v>913258.80640000012</v>
      </c>
    </row>
    <row r="96" spans="1:72" x14ac:dyDescent="0.25">
      <c r="A96" s="201" t="s">
        <v>233</v>
      </c>
      <c r="B96" s="244"/>
      <c r="C96" s="244"/>
      <c r="D96" s="244"/>
      <c r="E96" s="244"/>
      <c r="F96" s="244"/>
      <c r="G96" s="244"/>
      <c r="H96" s="241">
        <f t="shared" si="130"/>
        <v>0</v>
      </c>
      <c r="J96" s="244">
        <f>76750*1.01*1.01*1.01</f>
        <v>79075.601750000002</v>
      </c>
      <c r="K96" s="244"/>
      <c r="L96" s="244"/>
      <c r="M96" s="244"/>
      <c r="N96" s="244"/>
      <c r="O96" s="244"/>
      <c r="P96" s="241">
        <f t="shared" si="131"/>
        <v>79075.601750000002</v>
      </c>
      <c r="R96" s="244"/>
      <c r="S96" s="244"/>
      <c r="T96" s="244"/>
      <c r="U96" s="244"/>
      <c r="V96" s="244"/>
      <c r="W96" s="244"/>
      <c r="X96" s="241">
        <f t="shared" si="132"/>
        <v>0</v>
      </c>
      <c r="Z96" s="244"/>
      <c r="AA96" s="244"/>
      <c r="AB96" s="244"/>
      <c r="AC96" s="244"/>
      <c r="AD96" s="244"/>
      <c r="AE96" s="244"/>
      <c r="AF96" s="241">
        <f t="shared" si="133"/>
        <v>0</v>
      </c>
      <c r="AH96" s="242"/>
      <c r="AI96" s="244"/>
      <c r="AJ96" s="244"/>
      <c r="AK96" s="244"/>
      <c r="AL96" s="244"/>
      <c r="AM96" s="244"/>
      <c r="AN96" s="241">
        <f t="shared" si="134"/>
        <v>0</v>
      </c>
      <c r="AP96" s="244"/>
      <c r="AQ96" s="244"/>
      <c r="AR96" s="244"/>
      <c r="AS96" s="244"/>
      <c r="AT96" s="244"/>
      <c r="AU96" s="244"/>
      <c r="AV96" s="241">
        <f t="shared" si="135"/>
        <v>0</v>
      </c>
      <c r="AX96" s="244"/>
      <c r="AY96" s="244"/>
      <c r="AZ96" s="244"/>
      <c r="BA96" s="244"/>
      <c r="BB96" s="244"/>
      <c r="BC96" s="244"/>
      <c r="BD96" s="241">
        <f t="shared" si="136"/>
        <v>0</v>
      </c>
      <c r="BF96" s="244"/>
      <c r="BG96" s="244"/>
      <c r="BH96" s="244"/>
      <c r="BI96" s="244"/>
      <c r="BJ96" s="244"/>
      <c r="BK96" s="244"/>
      <c r="BL96" s="241">
        <f t="shared" si="137"/>
        <v>0</v>
      </c>
      <c r="BN96" s="241">
        <f t="shared" si="138"/>
        <v>79075.601750000002</v>
      </c>
      <c r="BO96" s="241">
        <f t="shared" si="129"/>
        <v>0</v>
      </c>
      <c r="BP96" s="241">
        <f t="shared" si="129"/>
        <v>0</v>
      </c>
      <c r="BQ96" s="241">
        <f t="shared" si="129"/>
        <v>0</v>
      </c>
      <c r="BR96" s="241">
        <f t="shared" si="129"/>
        <v>0</v>
      </c>
      <c r="BS96" s="241">
        <f t="shared" si="129"/>
        <v>0</v>
      </c>
      <c r="BT96" s="241">
        <f t="shared" si="139"/>
        <v>79075.601750000002</v>
      </c>
    </row>
    <row r="97" spans="1:72" x14ac:dyDescent="0.25">
      <c r="A97" s="201" t="s">
        <v>234</v>
      </c>
      <c r="B97" s="244"/>
      <c r="C97" s="244"/>
      <c r="D97" s="244"/>
      <c r="E97" s="244"/>
      <c r="F97" s="244"/>
      <c r="G97" s="244"/>
      <c r="H97" s="241">
        <f t="shared" si="130"/>
        <v>0</v>
      </c>
      <c r="J97" s="244">
        <f>(87000+74160+65000+75000)*1.01*1.01*1.01</f>
        <v>310285.44916000002</v>
      </c>
      <c r="K97" s="244"/>
      <c r="L97" s="244"/>
      <c r="M97" s="244"/>
      <c r="N97" s="244"/>
      <c r="O97" s="244"/>
      <c r="P97" s="241">
        <f t="shared" si="131"/>
        <v>310285.44916000002</v>
      </c>
      <c r="R97" s="244"/>
      <c r="S97" s="244"/>
      <c r="T97" s="244"/>
      <c r="U97" s="244"/>
      <c r="V97" s="244"/>
      <c r="W97" s="244"/>
      <c r="X97" s="241">
        <f t="shared" si="132"/>
        <v>0</v>
      </c>
      <c r="Z97" s="244"/>
      <c r="AA97" s="244"/>
      <c r="AB97" s="244"/>
      <c r="AC97" s="244"/>
      <c r="AD97" s="244"/>
      <c r="AE97" s="244"/>
      <c r="AF97" s="241">
        <f t="shared" si="133"/>
        <v>0</v>
      </c>
      <c r="AH97" s="244">
        <f>(75000+85500+75000)*1.01*1.01*1.01</f>
        <v>242635.8855</v>
      </c>
      <c r="AI97" s="244"/>
      <c r="AJ97" s="244"/>
      <c r="AK97" s="244"/>
      <c r="AL97" s="244"/>
      <c r="AM97" s="244"/>
      <c r="AN97" s="241">
        <f t="shared" si="134"/>
        <v>242635.8855</v>
      </c>
      <c r="AP97" s="244"/>
      <c r="AQ97" s="244"/>
      <c r="AR97" s="244"/>
      <c r="AS97" s="244"/>
      <c r="AT97" s="244"/>
      <c r="AU97" s="244"/>
      <c r="AV97" s="241">
        <f t="shared" si="135"/>
        <v>0</v>
      </c>
      <c r="AX97" s="244"/>
      <c r="AY97" s="244"/>
      <c r="AZ97" s="244"/>
      <c r="BA97" s="244"/>
      <c r="BB97" s="244"/>
      <c r="BC97" s="244"/>
      <c r="BD97" s="241">
        <f t="shared" si="136"/>
        <v>0</v>
      </c>
      <c r="BF97" s="244"/>
      <c r="BG97" s="244"/>
      <c r="BH97" s="244"/>
      <c r="BI97" s="244"/>
      <c r="BJ97" s="244"/>
      <c r="BK97" s="244"/>
      <c r="BL97" s="241">
        <f>SUM(BF97:BK97)</f>
        <v>0</v>
      </c>
      <c r="BN97" s="241">
        <f t="shared" si="138"/>
        <v>552921.33466000005</v>
      </c>
      <c r="BO97" s="241">
        <f t="shared" si="129"/>
        <v>0</v>
      </c>
      <c r="BP97" s="241">
        <f t="shared" si="129"/>
        <v>0</v>
      </c>
      <c r="BQ97" s="241">
        <f t="shared" si="129"/>
        <v>0</v>
      </c>
      <c r="BR97" s="241">
        <f t="shared" si="129"/>
        <v>0</v>
      </c>
      <c r="BS97" s="241">
        <f t="shared" si="129"/>
        <v>0</v>
      </c>
      <c r="BT97" s="241">
        <f>SUM(BN97:BS97)</f>
        <v>552921.33466000005</v>
      </c>
    </row>
    <row r="98" spans="1:72" x14ac:dyDescent="0.25">
      <c r="A98" s="201" t="s">
        <v>235</v>
      </c>
      <c r="B98" s="244">
        <f>(72500+66500)*1.01*1.01*1.01</f>
        <v>143211.83900000001</v>
      </c>
      <c r="C98" s="244"/>
      <c r="D98" s="244"/>
      <c r="E98" s="244"/>
      <c r="F98" s="244"/>
      <c r="G98" s="244"/>
      <c r="H98" s="241">
        <f t="shared" si="130"/>
        <v>143211.83900000001</v>
      </c>
      <c r="J98" s="244">
        <f>(((58960+58700+67825)+(63650+58700))+10000)*1.01*1.01*1.01</f>
        <v>327465.71833499998</v>
      </c>
      <c r="K98" s="244"/>
      <c r="L98" s="244"/>
      <c r="M98" s="244"/>
      <c r="N98" s="244"/>
      <c r="O98" s="244"/>
      <c r="P98" s="241">
        <f t="shared" si="131"/>
        <v>327465.71833499998</v>
      </c>
      <c r="R98" s="244">
        <f>(70000+56000)*1.01*1.01*1.01</f>
        <v>129817.92600000001</v>
      </c>
      <c r="S98" s="244"/>
      <c r="T98" s="244"/>
      <c r="U98" s="244"/>
      <c r="V98" s="244"/>
      <c r="W98" s="244"/>
      <c r="X98" s="241">
        <f t="shared" si="132"/>
        <v>129817.92600000001</v>
      </c>
      <c r="Z98" s="244">
        <f>(65976+46350)*1.01*1.01*1.01</f>
        <v>115729.590126</v>
      </c>
      <c r="AA98" s="244"/>
      <c r="AB98" s="244"/>
      <c r="AC98" s="244"/>
      <c r="AD98" s="244"/>
      <c r="AE98" s="244"/>
      <c r="AF98" s="241">
        <f t="shared" si="133"/>
        <v>115729.590126</v>
      </c>
      <c r="AH98" s="244">
        <f>((63000+59000+62500)*1.01*1.01*1.01)+(23.25*8*200)</f>
        <v>227290.53450000001</v>
      </c>
      <c r="AI98" s="244"/>
      <c r="AJ98" s="244"/>
      <c r="AK98" s="244"/>
      <c r="AL98" s="244"/>
      <c r="AM98" s="244"/>
      <c r="AN98" s="241">
        <f t="shared" si="134"/>
        <v>227290.53450000001</v>
      </c>
      <c r="AP98" s="242">
        <f>(57000*1.01*1.01*1.01)+(47500*1.01)</f>
        <v>106702.15700000001</v>
      </c>
      <c r="AQ98" s="244"/>
      <c r="AR98" s="244"/>
      <c r="AS98" s="244"/>
      <c r="AT98" s="244"/>
      <c r="AU98" s="244"/>
      <c r="AV98" s="241">
        <f t="shared" si="135"/>
        <v>106702.15700000001</v>
      </c>
      <c r="AX98" s="244"/>
      <c r="AY98" s="244"/>
      <c r="AZ98" s="244"/>
      <c r="BA98" s="244"/>
      <c r="BB98" s="244"/>
      <c r="BC98" s="244"/>
      <c r="BD98" s="241">
        <f t="shared" si="136"/>
        <v>0</v>
      </c>
      <c r="BF98" s="244">
        <f>(92700+1500+1000)*1.01*1.01*1.01</f>
        <v>98084.655200000008</v>
      </c>
      <c r="BG98" s="244"/>
      <c r="BH98" s="244"/>
      <c r="BI98" s="244"/>
      <c r="BJ98" s="244"/>
      <c r="BK98" s="244"/>
      <c r="BL98" s="241">
        <f t="shared" si="137"/>
        <v>98084.655200000008</v>
      </c>
      <c r="BN98" s="241">
        <f t="shared" si="138"/>
        <v>1148302.420161</v>
      </c>
      <c r="BO98" s="241">
        <f t="shared" si="129"/>
        <v>0</v>
      </c>
      <c r="BP98" s="241">
        <f t="shared" si="129"/>
        <v>0</v>
      </c>
      <c r="BQ98" s="241">
        <f t="shared" si="129"/>
        <v>0</v>
      </c>
      <c r="BR98" s="241">
        <f t="shared" si="129"/>
        <v>0</v>
      </c>
      <c r="BS98" s="241">
        <f t="shared" si="129"/>
        <v>0</v>
      </c>
      <c r="BT98" s="241">
        <f t="shared" ref="BT98:BT103" si="140">SUM(BN98:BS98)</f>
        <v>1148302.420161</v>
      </c>
    </row>
    <row r="99" spans="1:72" x14ac:dyDescent="0.25">
      <c r="A99" s="201" t="s">
        <v>236</v>
      </c>
      <c r="B99" s="244">
        <f>(21.75*8*190)*(B48+B49)</f>
        <v>99180</v>
      </c>
      <c r="C99" s="244"/>
      <c r="D99" s="244"/>
      <c r="E99" s="244"/>
      <c r="F99" s="244"/>
      <c r="G99" s="244"/>
      <c r="H99" s="241">
        <f t="shared" si="130"/>
        <v>99180</v>
      </c>
      <c r="J99" s="244">
        <f>(21.5*8*190)*(J48+J49)</f>
        <v>163400</v>
      </c>
      <c r="K99" s="244"/>
      <c r="L99" s="244"/>
      <c r="M99" s="244"/>
      <c r="N99" s="244"/>
      <c r="O99" s="244"/>
      <c r="P99" s="241">
        <f t="shared" si="131"/>
        <v>163400</v>
      </c>
      <c r="R99" s="244">
        <f>(22.75*8*190)*(R49+R48)</f>
        <v>69160</v>
      </c>
      <c r="S99" s="244"/>
      <c r="T99" s="244"/>
      <c r="U99" s="244"/>
      <c r="V99" s="244"/>
      <c r="W99" s="244"/>
      <c r="X99" s="241">
        <f t="shared" si="132"/>
        <v>69160</v>
      </c>
      <c r="Z99" s="244">
        <f>(46000*1.01*1.01*1.01)+(19.25*7.5*185)</f>
        <v>74103.22099999999</v>
      </c>
      <c r="AA99" s="244"/>
      <c r="AB99" s="244"/>
      <c r="AC99" s="244"/>
      <c r="AD99" s="244"/>
      <c r="AE99" s="244"/>
      <c r="AF99" s="241">
        <f t="shared" si="133"/>
        <v>74103.22099999999</v>
      </c>
      <c r="AH99" s="244">
        <f>(22.25*8*190)*(AH49+AH48)</f>
        <v>169100</v>
      </c>
      <c r="AI99" s="244"/>
      <c r="AJ99" s="244"/>
      <c r="AK99" s="244"/>
      <c r="AL99" s="244"/>
      <c r="AM99" s="244"/>
      <c r="AN99" s="241">
        <f t="shared" si="134"/>
        <v>169100</v>
      </c>
      <c r="AP99" s="244">
        <f>((21.75*8*190)*(AP48+AP49))</f>
        <v>66120</v>
      </c>
      <c r="AQ99" s="244"/>
      <c r="AR99" s="244"/>
      <c r="AS99" s="244"/>
      <c r="AT99" s="244"/>
      <c r="AU99" s="244"/>
      <c r="AV99" s="241">
        <f t="shared" si="135"/>
        <v>66120</v>
      </c>
      <c r="AX99" s="244"/>
      <c r="AY99" s="244"/>
      <c r="AZ99" s="244"/>
      <c r="BA99" s="244"/>
      <c r="BB99" s="244"/>
      <c r="BC99" s="244"/>
      <c r="BD99" s="241">
        <f t="shared" si="136"/>
        <v>0</v>
      </c>
      <c r="BF99" s="244">
        <f>(46500+550)*1.01*1.01*1.01</f>
        <v>48475.662049999999</v>
      </c>
      <c r="BG99" s="244"/>
      <c r="BH99" s="244"/>
      <c r="BI99" s="244"/>
      <c r="BJ99" s="244"/>
      <c r="BK99" s="244"/>
      <c r="BL99" s="241">
        <f t="shared" si="137"/>
        <v>48475.662049999999</v>
      </c>
      <c r="BN99" s="241">
        <f t="shared" si="138"/>
        <v>689538.88305000006</v>
      </c>
      <c r="BO99" s="241">
        <f t="shared" si="129"/>
        <v>0</v>
      </c>
      <c r="BP99" s="241">
        <f t="shared" si="129"/>
        <v>0</v>
      </c>
      <c r="BQ99" s="241">
        <f t="shared" si="129"/>
        <v>0</v>
      </c>
      <c r="BR99" s="241">
        <f t="shared" si="129"/>
        <v>0</v>
      </c>
      <c r="BS99" s="241">
        <f t="shared" si="129"/>
        <v>0</v>
      </c>
      <c r="BT99" s="241">
        <f t="shared" si="140"/>
        <v>689538.88305000006</v>
      </c>
    </row>
    <row r="100" spans="1:72" x14ac:dyDescent="0.25">
      <c r="A100" s="201" t="s">
        <v>324</v>
      </c>
      <c r="B100" s="244"/>
      <c r="C100" s="244"/>
      <c r="D100" s="244"/>
      <c r="E100" s="244"/>
      <c r="F100" s="244"/>
      <c r="G100" s="244"/>
      <c r="H100" s="241">
        <f t="shared" si="130"/>
        <v>0</v>
      </c>
      <c r="J100" s="244">
        <f>43900*1.01*1.01*1.01</f>
        <v>45230.213900000002</v>
      </c>
      <c r="K100" s="244"/>
      <c r="L100" s="244"/>
      <c r="M100" s="244"/>
      <c r="N100" s="244"/>
      <c r="O100" s="244"/>
      <c r="P100" s="241">
        <f t="shared" si="131"/>
        <v>45230.213900000002</v>
      </c>
      <c r="R100" s="244">
        <f>26.75*7.5*215</f>
        <v>43134.375</v>
      </c>
      <c r="S100" s="244"/>
      <c r="T100" s="244"/>
      <c r="U100" s="244"/>
      <c r="V100" s="244"/>
      <c r="W100" s="244"/>
      <c r="X100" s="241">
        <f t="shared" si="132"/>
        <v>43134.375</v>
      </c>
      <c r="Z100" s="244"/>
      <c r="AA100" s="244"/>
      <c r="AB100" s="244"/>
      <c r="AC100" s="244"/>
      <c r="AD100" s="244"/>
      <c r="AE100" s="244"/>
      <c r="AF100" s="241">
        <f t="shared" si="133"/>
        <v>0</v>
      </c>
      <c r="AH100" s="244">
        <f>50500*1.01*1.01*1.01</f>
        <v>52030.200500000006</v>
      </c>
      <c r="AI100" s="244"/>
      <c r="AJ100" s="244"/>
      <c r="AK100" s="244"/>
      <c r="AL100" s="244"/>
      <c r="AM100" s="244"/>
      <c r="AN100" s="241">
        <f t="shared" si="134"/>
        <v>52030.200500000006</v>
      </c>
      <c r="AP100" s="244"/>
      <c r="AQ100" s="244"/>
      <c r="AR100" s="244"/>
      <c r="AS100" s="244"/>
      <c r="AT100" s="244"/>
      <c r="AU100" s="244"/>
      <c r="AV100" s="241">
        <f t="shared" si="135"/>
        <v>0</v>
      </c>
      <c r="AX100" s="244"/>
      <c r="AY100" s="244"/>
      <c r="AZ100" s="244"/>
      <c r="BA100" s="244"/>
      <c r="BB100" s="244"/>
      <c r="BC100" s="244"/>
      <c r="BD100" s="241">
        <f t="shared" si="136"/>
        <v>0</v>
      </c>
      <c r="BF100" s="244"/>
      <c r="BG100" s="244"/>
      <c r="BH100" s="244"/>
      <c r="BI100" s="244"/>
      <c r="BJ100" s="244"/>
      <c r="BK100" s="244"/>
      <c r="BL100" s="241">
        <f t="shared" si="137"/>
        <v>0</v>
      </c>
      <c r="BN100" s="241">
        <f t="shared" si="138"/>
        <v>140394.78940000001</v>
      </c>
      <c r="BO100" s="241">
        <f t="shared" si="129"/>
        <v>0</v>
      </c>
      <c r="BP100" s="241">
        <f t="shared" si="129"/>
        <v>0</v>
      </c>
      <c r="BQ100" s="241">
        <f t="shared" si="129"/>
        <v>0</v>
      </c>
      <c r="BR100" s="241">
        <f t="shared" si="129"/>
        <v>0</v>
      </c>
      <c r="BS100" s="241">
        <f t="shared" si="129"/>
        <v>0</v>
      </c>
      <c r="BT100" s="241">
        <f t="shared" si="140"/>
        <v>140394.78940000001</v>
      </c>
    </row>
    <row r="101" spans="1:72" x14ac:dyDescent="0.25">
      <c r="A101" s="201" t="s">
        <v>237</v>
      </c>
      <c r="B101" s="244">
        <f>(25.75*8*240)*B51</f>
        <v>98880</v>
      </c>
      <c r="C101" s="244"/>
      <c r="D101" s="244"/>
      <c r="E101" s="244"/>
      <c r="F101" s="244"/>
      <c r="G101" s="244"/>
      <c r="H101" s="241">
        <f t="shared" si="130"/>
        <v>98880</v>
      </c>
      <c r="J101" s="244">
        <f>((22.5*8*240)*J51-1)+((58700+47000)*1.01*1.01*1.01)</f>
        <v>454501.81570000004</v>
      </c>
      <c r="K101" s="244"/>
      <c r="L101" s="244"/>
      <c r="M101" s="244"/>
      <c r="N101" s="244"/>
      <c r="O101" s="244"/>
      <c r="P101" s="241">
        <f t="shared" si="131"/>
        <v>454501.81570000004</v>
      </c>
      <c r="R101" s="244">
        <f>(22.75*8*240)*R51</f>
        <v>131040</v>
      </c>
      <c r="S101" s="244"/>
      <c r="T101" s="244"/>
      <c r="U101" s="244"/>
      <c r="V101" s="244"/>
      <c r="W101" s="244"/>
      <c r="X101" s="241">
        <f t="shared" si="132"/>
        <v>131040</v>
      </c>
      <c r="Z101" s="244">
        <f>(23.75*8*240)*Z51</f>
        <v>136800</v>
      </c>
      <c r="AA101" s="244"/>
      <c r="AB101" s="244"/>
      <c r="AC101" s="244"/>
      <c r="AD101" s="244"/>
      <c r="AE101" s="244"/>
      <c r="AF101" s="241">
        <f t="shared" si="133"/>
        <v>136800</v>
      </c>
      <c r="AH101" s="244">
        <f>(21.75*8*240)*AH51-96</f>
        <v>333984</v>
      </c>
      <c r="AI101" s="244"/>
      <c r="AJ101" s="244"/>
      <c r="AK101" s="244"/>
      <c r="AL101" s="244"/>
      <c r="AM101" s="244"/>
      <c r="AN101" s="241">
        <f t="shared" si="134"/>
        <v>333984</v>
      </c>
      <c r="AP101" s="244">
        <f>(22.75*8*240)+(50000*1.01*1.01)</f>
        <v>94685</v>
      </c>
      <c r="AQ101" s="244"/>
      <c r="AR101" s="244"/>
      <c r="AS101" s="244"/>
      <c r="AU101" s="244"/>
      <c r="AV101" s="241">
        <f t="shared" si="135"/>
        <v>94685</v>
      </c>
      <c r="AX101" s="244"/>
      <c r="AY101" s="244"/>
      <c r="AZ101" s="244"/>
      <c r="BA101" s="244"/>
      <c r="BB101" s="244"/>
      <c r="BC101" s="244"/>
      <c r="BD101" s="241">
        <f t="shared" si="136"/>
        <v>0</v>
      </c>
      <c r="BF101" s="244"/>
      <c r="BG101" s="244"/>
      <c r="BH101" s="244"/>
      <c r="BI101" s="244"/>
      <c r="BJ101" s="244"/>
      <c r="BK101" s="244"/>
      <c r="BL101" s="241">
        <f t="shared" si="137"/>
        <v>0</v>
      </c>
      <c r="BN101" s="241">
        <f t="shared" si="138"/>
        <v>1249890.8157000002</v>
      </c>
      <c r="BO101" s="241">
        <f t="shared" si="129"/>
        <v>0</v>
      </c>
      <c r="BP101" s="241">
        <f t="shared" si="129"/>
        <v>0</v>
      </c>
      <c r="BQ101" s="241">
        <f t="shared" si="129"/>
        <v>0</v>
      </c>
      <c r="BR101" s="241">
        <f t="shared" si="129"/>
        <v>0</v>
      </c>
      <c r="BS101" s="241">
        <f t="shared" si="129"/>
        <v>0</v>
      </c>
      <c r="BT101" s="241">
        <f t="shared" si="140"/>
        <v>1249890.8157000002</v>
      </c>
    </row>
    <row r="102" spans="1:72" x14ac:dyDescent="0.25">
      <c r="A102" s="201" t="s">
        <v>238</v>
      </c>
      <c r="B102" s="244"/>
      <c r="C102" s="244"/>
      <c r="D102" s="244">
        <f>(20.75*8*180)+(23.5*8*180)</f>
        <v>63720</v>
      </c>
      <c r="E102" s="244"/>
      <c r="F102" s="244"/>
      <c r="G102" s="244"/>
      <c r="H102" s="241">
        <f t="shared" si="130"/>
        <v>63720</v>
      </c>
      <c r="J102" s="244"/>
      <c r="K102" s="244"/>
      <c r="L102" s="244">
        <f>(21.5*6*180*3)+(22.5*8*180*3)</f>
        <v>166860</v>
      </c>
      <c r="M102" s="244"/>
      <c r="N102" s="244"/>
      <c r="O102" s="244"/>
      <c r="P102" s="241">
        <f t="shared" si="131"/>
        <v>166860</v>
      </c>
      <c r="R102" s="244"/>
      <c r="S102" s="244"/>
      <c r="T102" s="244">
        <f>(20.75*7.5*180)+41200</f>
        <v>69212.5</v>
      </c>
      <c r="U102" s="244"/>
      <c r="V102" s="244"/>
      <c r="W102" s="244"/>
      <c r="X102" s="241">
        <f t="shared" si="132"/>
        <v>69212.5</v>
      </c>
      <c r="Z102" s="244"/>
      <c r="AA102" s="244"/>
      <c r="AB102" s="244">
        <f>(20.5*8*180)+(23.5*8*180)</f>
        <v>63360</v>
      </c>
      <c r="AC102" s="244"/>
      <c r="AD102" s="244"/>
      <c r="AE102" s="244"/>
      <c r="AF102" s="241">
        <f t="shared" si="133"/>
        <v>63360</v>
      </c>
      <c r="AH102" s="244"/>
      <c r="AI102" s="244"/>
      <c r="AJ102" s="244">
        <f>(20.75*6*180*3)+(21.75*8*180)</f>
        <v>98550</v>
      </c>
      <c r="AK102" s="244"/>
      <c r="AL102" s="244"/>
      <c r="AM102" s="244"/>
      <c r="AN102" s="241">
        <f t="shared" si="134"/>
        <v>98550</v>
      </c>
      <c r="AP102" s="244"/>
      <c r="AQ102" s="244"/>
      <c r="AR102" s="244">
        <f>(20.75*8*180)</f>
        <v>29880</v>
      </c>
      <c r="AS102" s="244"/>
      <c r="AT102" s="244"/>
      <c r="AU102" s="244"/>
      <c r="AV102" s="241">
        <f t="shared" si="135"/>
        <v>29880</v>
      </c>
      <c r="AX102" s="244"/>
      <c r="AY102" s="244"/>
      <c r="AZ102" s="244"/>
      <c r="BA102" s="244"/>
      <c r="BB102" s="244"/>
      <c r="BC102" s="244"/>
      <c r="BD102" s="241">
        <f t="shared" si="136"/>
        <v>0</v>
      </c>
      <c r="BF102" s="244"/>
      <c r="BG102" s="244"/>
      <c r="BH102" s="244">
        <f>(27.75*5*190)</f>
        <v>26362.5</v>
      </c>
      <c r="BI102" s="244"/>
      <c r="BJ102" s="244"/>
      <c r="BK102" s="244"/>
      <c r="BL102" s="241">
        <f t="shared" si="137"/>
        <v>26362.5</v>
      </c>
      <c r="BN102" s="241">
        <f t="shared" si="138"/>
        <v>0</v>
      </c>
      <c r="BO102" s="241">
        <f t="shared" si="129"/>
        <v>0</v>
      </c>
      <c r="BP102" s="241">
        <f t="shared" si="129"/>
        <v>517945</v>
      </c>
      <c r="BQ102" s="241">
        <f t="shared" si="129"/>
        <v>0</v>
      </c>
      <c r="BR102" s="241">
        <f t="shared" si="129"/>
        <v>0</v>
      </c>
      <c r="BS102" s="241">
        <f t="shared" si="129"/>
        <v>0</v>
      </c>
      <c r="BT102" s="241">
        <f t="shared" si="140"/>
        <v>517945</v>
      </c>
    </row>
    <row r="103" spans="1:72" x14ac:dyDescent="0.25">
      <c r="A103" s="201" t="s">
        <v>239</v>
      </c>
      <c r="B103" s="244"/>
      <c r="C103" s="244"/>
      <c r="D103" s="244"/>
      <c r="E103" s="244"/>
      <c r="F103" s="244"/>
      <c r="G103" s="244"/>
      <c r="H103" s="241">
        <f t="shared" si="130"/>
        <v>0</v>
      </c>
      <c r="J103" s="244"/>
      <c r="K103" s="244"/>
      <c r="L103" s="244"/>
      <c r="M103" s="244"/>
      <c r="N103" s="244"/>
      <c r="O103" s="244"/>
      <c r="P103" s="241">
        <f t="shared" si="131"/>
        <v>0</v>
      </c>
      <c r="R103" s="244"/>
      <c r="S103" s="244"/>
      <c r="T103" s="244"/>
      <c r="U103" s="244"/>
      <c r="V103" s="244"/>
      <c r="W103" s="244"/>
      <c r="X103" s="241">
        <f t="shared" si="132"/>
        <v>0</v>
      </c>
      <c r="Z103" s="244"/>
      <c r="AA103" s="244">
        <f>25750*1.01*1.01*1.01</f>
        <v>26530.250749999999</v>
      </c>
      <c r="AB103" s="244"/>
      <c r="AC103" s="244"/>
      <c r="AD103" s="244"/>
      <c r="AE103" s="244"/>
      <c r="AF103" s="241">
        <f t="shared" si="133"/>
        <v>26530.250749999999</v>
      </c>
      <c r="AH103" s="244">
        <f>49440*1.02*1.01</f>
        <v>50933.088000000003</v>
      </c>
      <c r="AI103" s="244"/>
      <c r="AJ103" s="244"/>
      <c r="AK103" s="244"/>
      <c r="AL103" s="244"/>
      <c r="AM103" s="244"/>
      <c r="AN103" s="241">
        <f t="shared" si="134"/>
        <v>50933.088000000003</v>
      </c>
      <c r="AP103" s="244"/>
      <c r="AQ103" s="244"/>
      <c r="AR103" s="244"/>
      <c r="AS103" s="244"/>
      <c r="AT103" s="244"/>
      <c r="AU103" s="244"/>
      <c r="AV103" s="241">
        <f t="shared" si="135"/>
        <v>0</v>
      </c>
      <c r="AX103" s="244"/>
      <c r="AY103" s="244"/>
      <c r="AZ103" s="244"/>
      <c r="BA103" s="244"/>
      <c r="BB103" s="244"/>
      <c r="BC103" s="244"/>
      <c r="BD103" s="241">
        <f t="shared" si="136"/>
        <v>0</v>
      </c>
      <c r="BF103" s="244"/>
      <c r="BG103" s="244"/>
      <c r="BH103" s="244"/>
      <c r="BI103" s="244"/>
      <c r="BJ103" s="244"/>
      <c r="BK103" s="244"/>
      <c r="BL103" s="241">
        <f t="shared" si="137"/>
        <v>0</v>
      </c>
      <c r="BN103" s="241">
        <f t="shared" si="138"/>
        <v>50933.088000000003</v>
      </c>
      <c r="BO103" s="241">
        <f t="shared" si="129"/>
        <v>26530.250749999999</v>
      </c>
      <c r="BP103" s="241">
        <f t="shared" si="129"/>
        <v>0</v>
      </c>
      <c r="BQ103" s="241">
        <f t="shared" si="129"/>
        <v>0</v>
      </c>
      <c r="BR103" s="241">
        <f t="shared" si="129"/>
        <v>0</v>
      </c>
      <c r="BS103" s="241">
        <f t="shared" si="129"/>
        <v>0</v>
      </c>
      <c r="BT103" s="241">
        <f t="shared" si="140"/>
        <v>77463.338749999995</v>
      </c>
    </row>
    <row r="104" spans="1:72" x14ac:dyDescent="0.25">
      <c r="A104" s="201" t="s">
        <v>204</v>
      </c>
      <c r="B104" s="244"/>
      <c r="C104" s="244">
        <f>79250*1.01*1.01*1.01</f>
        <v>81651.354250000004</v>
      </c>
      <c r="D104" s="244"/>
      <c r="E104" s="244"/>
      <c r="F104" s="244"/>
      <c r="G104" s="244"/>
      <c r="H104" s="241">
        <f>SUM(B104:G104)</f>
        <v>81651.354250000004</v>
      </c>
      <c r="J104" s="242"/>
      <c r="K104" s="242">
        <f>92700*1.01*1.01*1.01</f>
        <v>95508.902700000006</v>
      </c>
      <c r="L104" s="244"/>
      <c r="M104" s="244"/>
      <c r="N104" s="244"/>
      <c r="O104" s="244"/>
      <c r="P104" s="241">
        <f>SUM(J104:O104)</f>
        <v>95508.902700000006</v>
      </c>
      <c r="R104" s="242"/>
      <c r="S104" s="242">
        <f>84400*1.01*1.01*1.01</f>
        <v>86957.404399999999</v>
      </c>
      <c r="T104" s="244"/>
      <c r="U104" s="244"/>
      <c r="V104" s="244"/>
      <c r="W104" s="244"/>
      <c r="X104" s="241">
        <f>SUM(R104:W104)</f>
        <v>86957.404399999999</v>
      </c>
      <c r="Z104" s="242"/>
      <c r="AA104" s="242">
        <f>59225*1.01*1.01*1.01</f>
        <v>61019.576724999999</v>
      </c>
      <c r="AB104" s="244"/>
      <c r="AC104" s="244"/>
      <c r="AD104" s="244"/>
      <c r="AE104" s="244"/>
      <c r="AF104" s="241">
        <f>SUM(Z104:AE104)</f>
        <v>61019.576724999999</v>
      </c>
      <c r="AH104" s="242"/>
      <c r="AI104" s="242"/>
      <c r="AJ104" s="244"/>
      <c r="AK104" s="244"/>
      <c r="AL104" s="244"/>
      <c r="AM104" s="244"/>
      <c r="AN104" s="241">
        <f>SUM(AH104:AM104)</f>
        <v>0</v>
      </c>
      <c r="AP104" s="242"/>
      <c r="AQ104" s="242">
        <f>75000*1.01*1.01*1.01</f>
        <v>77272.574999999997</v>
      </c>
      <c r="AR104" s="244"/>
      <c r="AS104" s="244"/>
      <c r="AT104" s="244"/>
      <c r="AU104" s="244"/>
      <c r="AV104" s="241">
        <f>SUM(AP104:AU104)</f>
        <v>77272.574999999997</v>
      </c>
      <c r="AX104" s="242"/>
      <c r="AY104" s="242"/>
      <c r="AZ104" s="244"/>
      <c r="BA104" s="244"/>
      <c r="BB104" s="244"/>
      <c r="BC104" s="244"/>
      <c r="BD104" s="241">
        <f>SUM(AX104:BC104)</f>
        <v>0</v>
      </c>
      <c r="BF104" s="244"/>
      <c r="BG104" s="244"/>
      <c r="BH104" s="244"/>
      <c r="BI104" s="244"/>
      <c r="BJ104" s="244"/>
      <c r="BK104" s="244"/>
      <c r="BL104" s="241">
        <f>SUM(BF104:BK104)</f>
        <v>0</v>
      </c>
      <c r="BN104" s="241">
        <f t="shared" si="138"/>
        <v>0</v>
      </c>
      <c r="BO104" s="241">
        <f t="shared" si="129"/>
        <v>402409.81307500001</v>
      </c>
      <c r="BP104" s="241">
        <f t="shared" si="129"/>
        <v>0</v>
      </c>
      <c r="BQ104" s="241">
        <f t="shared" si="129"/>
        <v>0</v>
      </c>
      <c r="BR104" s="241">
        <f t="shared" si="129"/>
        <v>0</v>
      </c>
      <c r="BS104" s="241">
        <f t="shared" si="129"/>
        <v>0</v>
      </c>
      <c r="BT104" s="241">
        <f>SUM(BN104:BS104)</f>
        <v>402409.81307500001</v>
      </c>
    </row>
    <row r="105" spans="1:72" x14ac:dyDescent="0.25">
      <c r="A105" s="201" t="s">
        <v>240</v>
      </c>
      <c r="B105" s="244"/>
      <c r="C105" s="244"/>
      <c r="D105" s="244"/>
      <c r="E105" s="244"/>
      <c r="F105" s="244"/>
      <c r="G105" s="244"/>
      <c r="H105" s="241">
        <f>SUM(B105:G105)</f>
        <v>0</v>
      </c>
      <c r="J105" s="244"/>
      <c r="K105" s="244">
        <f>63860*1.01*1.01*1.01</f>
        <v>65795.021859999993</v>
      </c>
      <c r="L105" s="244"/>
      <c r="M105" s="244"/>
      <c r="N105" s="244"/>
      <c r="O105" s="244"/>
      <c r="P105" s="241">
        <f>SUM(J105:O105)</f>
        <v>65795.021859999993</v>
      </c>
      <c r="R105" s="244"/>
      <c r="S105" s="244"/>
      <c r="T105" s="244"/>
      <c r="U105" s="244"/>
      <c r="V105" s="244"/>
      <c r="W105" s="244"/>
      <c r="X105" s="241">
        <f>SUM(R105:W105)</f>
        <v>0</v>
      </c>
      <c r="Z105" s="242"/>
      <c r="AA105" s="244">
        <f>54848*1.01*1.01*1.01</f>
        <v>56509.949248000004</v>
      </c>
      <c r="AB105" s="244"/>
      <c r="AC105" s="244"/>
      <c r="AD105" s="244"/>
      <c r="AE105" s="244"/>
      <c r="AF105" s="241">
        <f>SUM(Z105:AE105)</f>
        <v>56509.949248000004</v>
      </c>
      <c r="AH105" s="242">
        <v>0</v>
      </c>
      <c r="AI105" s="244"/>
      <c r="AJ105" s="244"/>
      <c r="AK105" s="244"/>
      <c r="AL105" s="244"/>
      <c r="AM105" s="244"/>
      <c r="AN105" s="241">
        <f>SUM(AH105:AM105)</f>
        <v>0</v>
      </c>
      <c r="AP105" s="244"/>
      <c r="AQ105" s="244"/>
      <c r="AR105" s="244"/>
      <c r="AS105" s="244"/>
      <c r="AT105" s="244"/>
      <c r="AU105" s="244"/>
      <c r="AV105" s="241">
        <f>SUM(AP105:AU105)</f>
        <v>0</v>
      </c>
      <c r="AX105" s="244"/>
      <c r="AY105" s="244"/>
      <c r="AZ105" s="244"/>
      <c r="BA105" s="244"/>
      <c r="BB105" s="244"/>
      <c r="BC105" s="244"/>
      <c r="BD105" s="241">
        <f>SUM(AX105:BC105)</f>
        <v>0</v>
      </c>
      <c r="BF105" s="244"/>
      <c r="BG105" s="244"/>
      <c r="BH105" s="244"/>
      <c r="BI105" s="244"/>
      <c r="BJ105" s="244"/>
      <c r="BK105" s="244"/>
      <c r="BL105" s="241">
        <f>SUM(BF105:BK105)</f>
        <v>0</v>
      </c>
      <c r="BN105" s="241">
        <f t="shared" si="138"/>
        <v>0</v>
      </c>
      <c r="BO105" s="241">
        <f t="shared" si="129"/>
        <v>122304.971108</v>
      </c>
      <c r="BP105" s="241">
        <f t="shared" si="129"/>
        <v>0</v>
      </c>
      <c r="BQ105" s="241">
        <f t="shared" si="129"/>
        <v>0</v>
      </c>
      <c r="BR105" s="241">
        <f t="shared" si="129"/>
        <v>0</v>
      </c>
      <c r="BS105" s="241">
        <f t="shared" si="129"/>
        <v>0</v>
      </c>
      <c r="BT105" s="241">
        <f>SUM(BN105:BS105)</f>
        <v>122304.971108</v>
      </c>
    </row>
    <row r="106" spans="1:72" x14ac:dyDescent="0.25">
      <c r="A106" s="201" t="s">
        <v>241</v>
      </c>
      <c r="B106" s="244"/>
      <c r="C106" s="244"/>
      <c r="D106" s="244"/>
      <c r="E106" s="244"/>
      <c r="F106" s="244"/>
      <c r="G106" s="244"/>
      <c r="H106" s="241">
        <f>SUM(B106:G106)</f>
        <v>0</v>
      </c>
      <c r="J106" s="244"/>
      <c r="K106" s="244">
        <f>98880*1.01*1.01*1.01</f>
        <v>101876.16288</v>
      </c>
      <c r="L106" s="244"/>
      <c r="M106" s="244"/>
      <c r="N106" s="244"/>
      <c r="O106" s="244"/>
      <c r="P106" s="241">
        <f>SUM(J106:O106)</f>
        <v>101876.16288</v>
      </c>
      <c r="R106" s="244"/>
      <c r="S106" s="244">
        <f>46063*1.01*1.01*1.01</f>
        <v>47458.754962999992</v>
      </c>
      <c r="T106" s="244"/>
      <c r="U106" s="244"/>
      <c r="V106" s="244"/>
      <c r="W106" s="244"/>
      <c r="X106" s="241">
        <f>SUM(R106:W106)</f>
        <v>47458.754962999992</v>
      </c>
      <c r="Z106" s="244"/>
      <c r="AA106" s="244">
        <f>45063*1.01*1.01*1.01</f>
        <v>46428.453962999993</v>
      </c>
      <c r="AB106" s="244"/>
      <c r="AC106" s="244"/>
      <c r="AD106" s="244"/>
      <c r="AE106" s="244"/>
      <c r="AF106" s="241">
        <f>SUM(Z106:AE106)</f>
        <v>46428.453962999993</v>
      </c>
      <c r="AH106" s="244"/>
      <c r="AI106" s="244">
        <f>94700*1.01*1.01*1.01</f>
        <v>97569.504700000005</v>
      </c>
      <c r="AJ106" s="244"/>
      <c r="AK106" s="244"/>
      <c r="AL106" s="244"/>
      <c r="AM106" s="244"/>
      <c r="AN106" s="241">
        <f>SUM(AH106:AM106)</f>
        <v>97569.504700000005</v>
      </c>
      <c r="AP106" s="244"/>
      <c r="AQ106" s="244"/>
      <c r="AR106" s="244"/>
      <c r="AS106" s="244"/>
      <c r="AT106" s="244"/>
      <c r="AU106" s="244"/>
      <c r="AV106" s="241">
        <f>SUM(AP106:AU106)</f>
        <v>0</v>
      </c>
      <c r="AX106" s="244"/>
      <c r="AY106" s="244"/>
      <c r="AZ106" s="244"/>
      <c r="BA106" s="244"/>
      <c r="BB106" s="244"/>
      <c r="BC106" s="244"/>
      <c r="BD106" s="241">
        <f>SUM(AX106:BC106)</f>
        <v>0</v>
      </c>
      <c r="BF106" s="244"/>
      <c r="BG106" s="244"/>
      <c r="BH106" s="244"/>
      <c r="BI106" s="244"/>
      <c r="BJ106" s="244"/>
      <c r="BK106" s="244"/>
      <c r="BL106" s="241">
        <f>SUM(BF106:BK106)</f>
        <v>0</v>
      </c>
      <c r="BN106" s="241">
        <f t="shared" si="138"/>
        <v>0</v>
      </c>
      <c r="BO106" s="241">
        <f t="shared" si="129"/>
        <v>293332.876506</v>
      </c>
      <c r="BP106" s="241">
        <f t="shared" si="129"/>
        <v>0</v>
      </c>
      <c r="BQ106" s="241">
        <f t="shared" si="129"/>
        <v>0</v>
      </c>
      <c r="BR106" s="241">
        <f t="shared" si="129"/>
        <v>0</v>
      </c>
      <c r="BS106" s="241">
        <f t="shared" si="129"/>
        <v>0</v>
      </c>
      <c r="BT106" s="241">
        <f>SUM(BN106:BS106)</f>
        <v>293332.876506</v>
      </c>
    </row>
    <row r="107" spans="1:72" x14ac:dyDescent="0.25">
      <c r="A107" s="201" t="s">
        <v>208</v>
      </c>
      <c r="B107" s="244"/>
      <c r="C107" s="244"/>
      <c r="D107" s="244"/>
      <c r="E107" s="244"/>
      <c r="F107" s="244"/>
      <c r="G107" s="244"/>
      <c r="H107" s="241">
        <f t="shared" si="130"/>
        <v>0</v>
      </c>
      <c r="J107" s="244">
        <f>75396*1.01*1.01*1.01</f>
        <v>77680.574196000001</v>
      </c>
      <c r="K107" s="244"/>
      <c r="L107" s="244"/>
      <c r="M107" s="244"/>
      <c r="N107" s="244"/>
      <c r="O107" s="244"/>
      <c r="P107" s="241">
        <f t="shared" si="131"/>
        <v>77680.574196000001</v>
      </c>
      <c r="R107" s="244">
        <f>33960*1.01*1.01*1.01</f>
        <v>34989.021959999998</v>
      </c>
      <c r="S107" s="244"/>
      <c r="T107" s="244"/>
      <c r="U107" s="244"/>
      <c r="V107" s="244"/>
      <c r="W107" s="244"/>
      <c r="X107" s="241">
        <f t="shared" si="132"/>
        <v>34989.021959999998</v>
      </c>
      <c r="Z107" s="244">
        <f>32960*1.01*1.01*1.01</f>
        <v>33958.720959999999</v>
      </c>
      <c r="AA107" s="244"/>
      <c r="AB107" s="244"/>
      <c r="AC107" s="244"/>
      <c r="AD107" s="244"/>
      <c r="AE107" s="244"/>
      <c r="AF107" s="241">
        <f t="shared" si="133"/>
        <v>33958.720959999999</v>
      </c>
      <c r="AH107" s="244">
        <f>78000*1.01*1.01*1.01</f>
        <v>80363.478000000003</v>
      </c>
      <c r="AI107" s="244"/>
      <c r="AJ107" s="244"/>
      <c r="AK107" s="244"/>
      <c r="AL107" s="244"/>
      <c r="AM107" s="244"/>
      <c r="AN107" s="241">
        <f t="shared" si="134"/>
        <v>80363.478000000003</v>
      </c>
      <c r="AP107" s="244"/>
      <c r="AQ107" s="244"/>
      <c r="AR107" s="244"/>
      <c r="AS107" s="244"/>
      <c r="AT107" s="244"/>
      <c r="AU107" s="244"/>
      <c r="AV107" s="241">
        <f t="shared" si="135"/>
        <v>0</v>
      </c>
      <c r="AX107" s="244"/>
      <c r="AY107" s="244"/>
      <c r="AZ107" s="244"/>
      <c r="BA107" s="244"/>
      <c r="BB107" s="244"/>
      <c r="BC107" s="244"/>
      <c r="BD107" s="241">
        <f t="shared" si="136"/>
        <v>0</v>
      </c>
      <c r="BF107" s="244"/>
      <c r="BG107" s="244"/>
      <c r="BH107" s="244"/>
      <c r="BI107" s="244"/>
      <c r="BJ107" s="244"/>
      <c r="BK107" s="244"/>
      <c r="BL107" s="241">
        <f t="shared" si="137"/>
        <v>0</v>
      </c>
      <c r="BN107" s="241">
        <f t="shared" si="138"/>
        <v>226991.79511599999</v>
      </c>
      <c r="BO107" s="241">
        <f t="shared" si="129"/>
        <v>0</v>
      </c>
      <c r="BP107" s="241">
        <f t="shared" si="129"/>
        <v>0</v>
      </c>
      <c r="BQ107" s="241">
        <f t="shared" si="129"/>
        <v>0</v>
      </c>
      <c r="BR107" s="241">
        <f t="shared" si="129"/>
        <v>0</v>
      </c>
      <c r="BS107" s="241">
        <f t="shared" si="129"/>
        <v>0</v>
      </c>
      <c r="BT107" s="241">
        <f t="shared" ref="BT107:BT108" si="141">SUM(BN107:BS107)</f>
        <v>226991.79511599999</v>
      </c>
    </row>
    <row r="108" spans="1:72" x14ac:dyDescent="0.25">
      <c r="A108" s="202" t="s">
        <v>242</v>
      </c>
      <c r="B108" s="245">
        <f>31000*1.01*1.01*1.01</f>
        <v>31939.330999999998</v>
      </c>
      <c r="C108" s="245"/>
      <c r="D108" s="245"/>
      <c r="E108" s="245"/>
      <c r="F108" s="245"/>
      <c r="G108" s="245"/>
      <c r="H108" s="241">
        <f t="shared" si="130"/>
        <v>31939.330999999998</v>
      </c>
      <c r="J108" s="245">
        <f>56650*1.01*1.01*1.01</f>
        <v>58366.551650000001</v>
      </c>
      <c r="K108" s="245"/>
      <c r="L108" s="245"/>
      <c r="M108" s="245"/>
      <c r="N108" s="245"/>
      <c r="O108" s="245"/>
      <c r="P108" s="241">
        <f t="shared" si="131"/>
        <v>58366.551650000001</v>
      </c>
      <c r="R108" s="245"/>
      <c r="S108" s="245"/>
      <c r="T108" s="245"/>
      <c r="U108" s="245"/>
      <c r="V108" s="245"/>
      <c r="W108" s="245"/>
      <c r="X108" s="241">
        <f t="shared" si="132"/>
        <v>0</v>
      </c>
      <c r="Z108" s="245">
        <f>61800*1.01*1.01*1.01</f>
        <v>63672.601800000004</v>
      </c>
      <c r="AA108" s="245"/>
      <c r="AB108" s="245"/>
      <c r="AC108" s="245"/>
      <c r="AD108" s="245"/>
      <c r="AE108" s="245"/>
      <c r="AF108" s="241">
        <f t="shared" si="133"/>
        <v>63672.601800000004</v>
      </c>
      <c r="AH108" s="245">
        <f>(63000)*1.01*1.01*1.01</f>
        <v>64908.963000000003</v>
      </c>
      <c r="AI108" s="245"/>
      <c r="AJ108" s="245"/>
      <c r="AK108" s="245"/>
      <c r="AL108" s="245"/>
      <c r="AM108" s="245"/>
      <c r="AN108" s="241">
        <f t="shared" si="134"/>
        <v>64908.963000000003</v>
      </c>
      <c r="AP108" s="245"/>
      <c r="AQ108" s="245"/>
      <c r="AR108" s="245"/>
      <c r="AS108" s="245"/>
      <c r="AT108" s="245"/>
      <c r="AU108" s="245"/>
      <c r="AV108" s="241">
        <f t="shared" si="135"/>
        <v>0</v>
      </c>
      <c r="AX108" s="245"/>
      <c r="AY108" s="245"/>
      <c r="AZ108" s="245"/>
      <c r="BA108" s="245"/>
      <c r="BB108" s="245"/>
      <c r="BC108" s="245"/>
      <c r="BD108" s="241">
        <f t="shared" si="136"/>
        <v>0</v>
      </c>
      <c r="BF108" s="245"/>
      <c r="BG108" s="245"/>
      <c r="BH108" s="245"/>
      <c r="BI108" s="245"/>
      <c r="BJ108" s="245"/>
      <c r="BK108" s="245"/>
      <c r="BL108" s="241">
        <f t="shared" si="137"/>
        <v>0</v>
      </c>
      <c r="BN108" s="241">
        <f t="shared" si="138"/>
        <v>218887.44744999998</v>
      </c>
      <c r="BO108" s="241">
        <f t="shared" si="129"/>
        <v>0</v>
      </c>
      <c r="BP108" s="241">
        <f t="shared" si="129"/>
        <v>0</v>
      </c>
      <c r="BQ108" s="241">
        <f t="shared" si="129"/>
        <v>0</v>
      </c>
      <c r="BR108" s="241">
        <f t="shared" si="129"/>
        <v>0</v>
      </c>
      <c r="BS108" s="241">
        <f t="shared" si="129"/>
        <v>0</v>
      </c>
      <c r="BT108" s="241">
        <f t="shared" si="141"/>
        <v>218887.44744999998</v>
      </c>
    </row>
    <row r="109" spans="1:72" x14ac:dyDescent="0.25">
      <c r="A109" s="207" t="s">
        <v>329</v>
      </c>
      <c r="B109" s="258">
        <f t="shared" ref="B109:H109" si="142">SUM(B93:B108)</f>
        <v>762354.52132672002</v>
      </c>
      <c r="C109" s="258">
        <f t="shared" si="142"/>
        <v>176439.04625000001</v>
      </c>
      <c r="D109" s="258">
        <f t="shared" si="142"/>
        <v>63720</v>
      </c>
      <c r="E109" s="258">
        <f t="shared" si="142"/>
        <v>0</v>
      </c>
      <c r="F109" s="258">
        <f t="shared" si="142"/>
        <v>0</v>
      </c>
      <c r="G109" s="258">
        <f t="shared" si="142"/>
        <v>0</v>
      </c>
      <c r="H109" s="258">
        <f t="shared" si="142"/>
        <v>1002513.56757672</v>
      </c>
      <c r="J109" s="258">
        <f t="shared" ref="J109:P109" si="143">SUM(J93:J108)</f>
        <v>2768187.9856071998</v>
      </c>
      <c r="K109" s="258">
        <f t="shared" si="143"/>
        <v>263180.08744000003</v>
      </c>
      <c r="L109" s="258">
        <f t="shared" si="143"/>
        <v>166860</v>
      </c>
      <c r="M109" s="258">
        <f t="shared" si="143"/>
        <v>0</v>
      </c>
      <c r="N109" s="258">
        <f t="shared" si="143"/>
        <v>0</v>
      </c>
      <c r="O109" s="258">
        <f t="shared" si="143"/>
        <v>0</v>
      </c>
      <c r="P109" s="258">
        <f t="shared" si="143"/>
        <v>3198228.0730472002</v>
      </c>
      <c r="R109" s="258">
        <f t="shared" ref="R109:X109" si="144">SUM(R93:R108)</f>
        <v>994573.86008976004</v>
      </c>
      <c r="S109" s="258">
        <f t="shared" si="144"/>
        <v>134416.15936299998</v>
      </c>
      <c r="T109" s="258">
        <f t="shared" si="144"/>
        <v>69212.5</v>
      </c>
      <c r="U109" s="258">
        <f t="shared" si="144"/>
        <v>0</v>
      </c>
      <c r="V109" s="258">
        <f t="shared" si="144"/>
        <v>0</v>
      </c>
      <c r="W109" s="258">
        <f t="shared" si="144"/>
        <v>0</v>
      </c>
      <c r="X109" s="258">
        <f t="shared" si="144"/>
        <v>1198202.5194527602</v>
      </c>
      <c r="Z109" s="258">
        <f t="shared" ref="Z109:AF109" si="145">SUM(Z93:Z108)</f>
        <v>966707.07383248</v>
      </c>
      <c r="AA109" s="258">
        <f t="shared" si="145"/>
        <v>190488.23068599997</v>
      </c>
      <c r="AB109" s="258">
        <f t="shared" si="145"/>
        <v>63360</v>
      </c>
      <c r="AC109" s="258">
        <f t="shared" si="145"/>
        <v>0</v>
      </c>
      <c r="AD109" s="258">
        <f t="shared" si="145"/>
        <v>0</v>
      </c>
      <c r="AE109" s="258">
        <f t="shared" si="145"/>
        <v>0</v>
      </c>
      <c r="AF109" s="258">
        <f t="shared" si="145"/>
        <v>1220555.3045184803</v>
      </c>
      <c r="AH109" s="258">
        <f t="shared" ref="AH109:AN109" si="146">SUM(AH93:AH108)</f>
        <v>2187859.0466160001</v>
      </c>
      <c r="AI109" s="258">
        <f t="shared" si="146"/>
        <v>97569.504700000005</v>
      </c>
      <c r="AJ109" s="258">
        <f t="shared" si="146"/>
        <v>98550</v>
      </c>
      <c r="AK109" s="258">
        <f t="shared" si="146"/>
        <v>0</v>
      </c>
      <c r="AL109" s="258">
        <f t="shared" si="146"/>
        <v>0</v>
      </c>
      <c r="AM109" s="258">
        <f t="shared" si="146"/>
        <v>0</v>
      </c>
      <c r="AN109" s="258">
        <f t="shared" si="146"/>
        <v>2383978.5513160005</v>
      </c>
      <c r="AP109" s="258">
        <f t="shared" ref="AP109:AV109" si="147">SUM(AP93:AP108)</f>
        <v>595792.777</v>
      </c>
      <c r="AQ109" s="258">
        <f t="shared" si="147"/>
        <v>77272.574999999997</v>
      </c>
      <c r="AR109" s="258">
        <f t="shared" si="147"/>
        <v>29880</v>
      </c>
      <c r="AS109" s="258">
        <f t="shared" si="147"/>
        <v>0</v>
      </c>
      <c r="AT109" s="258">
        <f t="shared" si="147"/>
        <v>0</v>
      </c>
      <c r="AU109" s="258">
        <f t="shared" si="147"/>
        <v>0</v>
      </c>
      <c r="AV109" s="258">
        <f t="shared" si="147"/>
        <v>702945.35199999996</v>
      </c>
      <c r="AX109" s="258">
        <f t="shared" ref="AX109:BD109" si="148">SUM(AX93:AX108)</f>
        <v>0</v>
      </c>
      <c r="AY109" s="258">
        <f t="shared" si="148"/>
        <v>0</v>
      </c>
      <c r="AZ109" s="258">
        <f t="shared" si="148"/>
        <v>0</v>
      </c>
      <c r="BA109" s="258">
        <f t="shared" si="148"/>
        <v>0</v>
      </c>
      <c r="BB109" s="258">
        <f t="shared" si="148"/>
        <v>0</v>
      </c>
      <c r="BC109" s="258">
        <f t="shared" si="148"/>
        <v>0</v>
      </c>
      <c r="BD109" s="258">
        <f t="shared" si="148"/>
        <v>0</v>
      </c>
      <c r="BF109" s="258">
        <f t="shared" ref="BF109:BL109" si="149">SUM(BF93:BF108)</f>
        <v>244644.97245</v>
      </c>
      <c r="BG109" s="258">
        <f t="shared" si="149"/>
        <v>0</v>
      </c>
      <c r="BH109" s="258">
        <f t="shared" si="149"/>
        <v>26362.5</v>
      </c>
      <c r="BI109" s="258">
        <f t="shared" si="149"/>
        <v>0</v>
      </c>
      <c r="BJ109" s="258">
        <f t="shared" si="149"/>
        <v>0</v>
      </c>
      <c r="BK109" s="258">
        <f t="shared" si="149"/>
        <v>0</v>
      </c>
      <c r="BL109" s="258">
        <f t="shared" si="149"/>
        <v>271007.47245</v>
      </c>
      <c r="BN109" s="258">
        <f t="shared" ref="BN109:BT109" si="150">SUM(BN93:BN108)</f>
        <v>8520120.2369221617</v>
      </c>
      <c r="BO109" s="258">
        <f t="shared" si="150"/>
        <v>939365.60343899997</v>
      </c>
      <c r="BP109" s="258">
        <f t="shared" si="150"/>
        <v>517945</v>
      </c>
      <c r="BQ109" s="258">
        <f t="shared" si="150"/>
        <v>0</v>
      </c>
      <c r="BR109" s="258">
        <f t="shared" si="150"/>
        <v>0</v>
      </c>
      <c r="BS109" s="258">
        <f t="shared" si="150"/>
        <v>0</v>
      </c>
      <c r="BT109" s="258">
        <f t="shared" si="150"/>
        <v>9977430.840361163</v>
      </c>
    </row>
    <row r="110" spans="1:72" x14ac:dyDescent="0.25">
      <c r="A110" s="200" t="s">
        <v>371</v>
      </c>
      <c r="B110" s="257">
        <f>B109*0.3825</f>
        <v>291600.60440747038</v>
      </c>
      <c r="C110" s="257">
        <f t="shared" ref="C110:G110" si="151">C109*0.3825</f>
        <v>67487.935190625009</v>
      </c>
      <c r="D110" s="257">
        <f t="shared" si="151"/>
        <v>24372.9</v>
      </c>
      <c r="E110" s="257">
        <f t="shared" si="151"/>
        <v>0</v>
      </c>
      <c r="F110" s="257">
        <f t="shared" si="151"/>
        <v>0</v>
      </c>
      <c r="G110" s="257">
        <f t="shared" si="151"/>
        <v>0</v>
      </c>
      <c r="H110" s="241">
        <f t="shared" si="130"/>
        <v>383461.43959809543</v>
      </c>
      <c r="J110" s="257">
        <f>J109*0.3825</f>
        <v>1058831.904494754</v>
      </c>
      <c r="K110" s="257">
        <f t="shared" ref="K110:O110" si="152">K109*0.3825</f>
        <v>100666.38344580002</v>
      </c>
      <c r="L110" s="257">
        <f t="shared" si="152"/>
        <v>63823.950000000004</v>
      </c>
      <c r="M110" s="257">
        <f t="shared" si="152"/>
        <v>0</v>
      </c>
      <c r="N110" s="257">
        <f t="shared" si="152"/>
        <v>0</v>
      </c>
      <c r="O110" s="257">
        <f t="shared" si="152"/>
        <v>0</v>
      </c>
      <c r="P110" s="241">
        <f t="shared" si="131"/>
        <v>1223322.237940554</v>
      </c>
      <c r="R110" s="257">
        <f>R109*0.3825</f>
        <v>380424.50148433325</v>
      </c>
      <c r="S110" s="257">
        <f t="shared" ref="S110:W110" si="153">S109*0.3825</f>
        <v>51414.180956347496</v>
      </c>
      <c r="T110" s="257">
        <f t="shared" si="153"/>
        <v>26473.78125</v>
      </c>
      <c r="U110" s="257">
        <f t="shared" si="153"/>
        <v>0</v>
      </c>
      <c r="V110" s="257">
        <f t="shared" si="153"/>
        <v>0</v>
      </c>
      <c r="W110" s="257">
        <f t="shared" si="153"/>
        <v>0</v>
      </c>
      <c r="X110" s="241">
        <f t="shared" si="132"/>
        <v>458312.46369068074</v>
      </c>
      <c r="Z110" s="257">
        <f>(Z109-Z93)*0.3825+(Z93*0.1)</f>
        <v>300766.830412518</v>
      </c>
      <c r="AA110" s="257">
        <f>AA109*0.3825</f>
        <v>72861.74823739499</v>
      </c>
      <c r="AB110" s="257">
        <f t="shared" ref="AB110:AE110" si="154">AB109*0.3825</f>
        <v>24235.200000000001</v>
      </c>
      <c r="AC110" s="257">
        <f t="shared" si="154"/>
        <v>0</v>
      </c>
      <c r="AD110" s="257">
        <f t="shared" si="154"/>
        <v>0</v>
      </c>
      <c r="AE110" s="257">
        <f t="shared" si="154"/>
        <v>0</v>
      </c>
      <c r="AF110" s="241">
        <f t="shared" si="133"/>
        <v>397863.77864991297</v>
      </c>
      <c r="AH110" s="257">
        <f>AH109*0.3825</f>
        <v>836856.08533062006</v>
      </c>
      <c r="AI110" s="257">
        <f t="shared" ref="AI110:AM110" si="155">AI109*0.3825</f>
        <v>37320.335547750001</v>
      </c>
      <c r="AJ110" s="257">
        <f t="shared" si="155"/>
        <v>37695.375</v>
      </c>
      <c r="AK110" s="257">
        <f t="shared" si="155"/>
        <v>0</v>
      </c>
      <c r="AL110" s="257">
        <f t="shared" si="155"/>
        <v>0</v>
      </c>
      <c r="AM110" s="257">
        <f t="shared" si="155"/>
        <v>0</v>
      </c>
      <c r="AN110" s="241">
        <f t="shared" si="134"/>
        <v>911871.79587837006</v>
      </c>
      <c r="AP110" s="257">
        <f>(AP109)*0.3825</f>
        <v>227890.73720249999</v>
      </c>
      <c r="AQ110" s="257">
        <f t="shared" ref="AQ110:AU110" si="156">(AQ109)*0.3825</f>
        <v>29556.759937499999</v>
      </c>
      <c r="AR110" s="257">
        <f t="shared" si="156"/>
        <v>11429.1</v>
      </c>
      <c r="AS110" s="257">
        <f t="shared" si="156"/>
        <v>0</v>
      </c>
      <c r="AT110" s="257">
        <f t="shared" si="156"/>
        <v>0</v>
      </c>
      <c r="AU110" s="257">
        <f t="shared" si="156"/>
        <v>0</v>
      </c>
      <c r="AV110" s="241">
        <f t="shared" si="135"/>
        <v>268876.59713999997</v>
      </c>
      <c r="AX110" s="257">
        <f>(AX109-AX93)*0.3675+(AX93*0.1)</f>
        <v>0</v>
      </c>
      <c r="AY110" s="257">
        <f t="shared" ref="AY110:BC110" si="157">AY109*0.3675</f>
        <v>0</v>
      </c>
      <c r="AZ110" s="257">
        <f t="shared" si="157"/>
        <v>0</v>
      </c>
      <c r="BA110" s="257">
        <f t="shared" si="157"/>
        <v>0</v>
      </c>
      <c r="BB110" s="257">
        <f t="shared" si="157"/>
        <v>0</v>
      </c>
      <c r="BC110" s="257">
        <f t="shared" si="157"/>
        <v>0</v>
      </c>
      <c r="BD110" s="241">
        <f t="shared" si="136"/>
        <v>0</v>
      </c>
      <c r="BF110" s="241">
        <f>BF109*0.3825</f>
        <v>93576.701962125007</v>
      </c>
      <c r="BG110" s="241">
        <f t="shared" ref="BG110:BK110" si="158">BG109*0.3825</f>
        <v>0</v>
      </c>
      <c r="BH110" s="241">
        <f t="shared" si="158"/>
        <v>10083.65625</v>
      </c>
      <c r="BI110" s="241">
        <f t="shared" si="158"/>
        <v>0</v>
      </c>
      <c r="BJ110" s="241">
        <f t="shared" si="158"/>
        <v>0</v>
      </c>
      <c r="BK110" s="241">
        <f t="shared" si="158"/>
        <v>0</v>
      </c>
      <c r="BL110" s="241">
        <f t="shared" si="137"/>
        <v>103660.35821212501</v>
      </c>
      <c r="BN110" s="241">
        <f>B110+J110+R110+Z110+AH110+AP110+AX110+BF110</f>
        <v>3189947.365294321</v>
      </c>
      <c r="BO110" s="241">
        <f t="shared" ref="BO110:BS115" si="159">C110+K110+S110+AA110+AI110+AQ110+AY110+BG110</f>
        <v>359307.34331541753</v>
      </c>
      <c r="BP110" s="241">
        <f t="shared" si="159"/>
        <v>198113.96250000002</v>
      </c>
      <c r="BQ110" s="241">
        <f t="shared" si="159"/>
        <v>0</v>
      </c>
      <c r="BR110" s="241">
        <f t="shared" si="159"/>
        <v>0</v>
      </c>
      <c r="BS110" s="241">
        <f t="shared" si="159"/>
        <v>0</v>
      </c>
      <c r="BT110" s="241">
        <f t="shared" ref="BT110:BT115" si="160">SUM(BN110:BS110)</f>
        <v>3747368.6711097383</v>
      </c>
    </row>
    <row r="111" spans="1:72" x14ac:dyDescent="0.25">
      <c r="A111" s="201" t="s">
        <v>244</v>
      </c>
      <c r="B111" s="242">
        <f>(((9985*(B64*0.8))+((220*(B64*0.85))+((85*(B64*0.825))+(B64*65)+(B109*0.015)+(B109*0.03)))))</f>
        <v>134027.45345970243</v>
      </c>
      <c r="C111" s="242">
        <f t="shared" ref="C111:G111" si="161">(((9985*(C64*0.8))+((220*(C64*0.85))+((85*(C64*0.825))+(C64*65)+(C109*0.015)+(C109*0.03)))))</f>
        <v>24560.007081250002</v>
      </c>
      <c r="D111" s="242">
        <f>(((9985*(D64*0.8))+((220*(D64*0.85))+((85*(D64*0.825))+(D64*65)+(D109*0.015)+(D109*0.03)))))*0.6</f>
        <v>11692.59</v>
      </c>
      <c r="E111" s="242">
        <f t="shared" si="161"/>
        <v>0</v>
      </c>
      <c r="F111" s="242">
        <f t="shared" si="161"/>
        <v>0</v>
      </c>
      <c r="G111" s="242">
        <f t="shared" si="161"/>
        <v>0</v>
      </c>
      <c r="H111" s="241">
        <f t="shared" si="130"/>
        <v>170280.05054095242</v>
      </c>
      <c r="J111" s="242">
        <f>(((9985*(J64*0.8))+((220*(J64*0.85))+((85*(J64*0.825))+(J64*65)+(J109*0.015)+(J109*0.03)))))</f>
        <v>465283.58435232402</v>
      </c>
      <c r="K111" s="242">
        <f t="shared" ref="K111:O111" si="162">(((9985*(K64*0.8))+((220*(K64*0.85))+((85*(K64*0.825))+(K64*65)+(K109*0.015)+(K109*0.03)))))</f>
        <v>36773.478934800005</v>
      </c>
      <c r="L111" s="242">
        <f>(((9985*(L64*0.8))+((220*(L64*0.85))+((85*(L64*0.825))+(L64*65)+(L109*0.015)+(L109*0.03)))))*0.7</f>
        <v>40158.615000000005</v>
      </c>
      <c r="M111" s="242">
        <f t="shared" si="162"/>
        <v>0</v>
      </c>
      <c r="N111" s="242">
        <f t="shared" si="162"/>
        <v>0</v>
      </c>
      <c r="O111" s="242">
        <f t="shared" si="162"/>
        <v>0</v>
      </c>
      <c r="P111" s="241">
        <f t="shared" si="131"/>
        <v>542215.67828712403</v>
      </c>
      <c r="R111" s="242">
        <f>(((9985*(R64*0.8))+((220*(R64*0.85))+((85*(R64*0.825))+(R64*65)+(R109*0.015)+(R109*0.03)))))</f>
        <v>165252.63620403921</v>
      </c>
      <c r="S111" s="242">
        <f t="shared" ref="S111:W111" si="163">(((9985*(S64*0.8))+((220*(S64*0.85))+((85*(S64*0.825))+(S64*65)+(S109*0.015)+(S109*0.03)))))</f>
        <v>18513.914671335002</v>
      </c>
      <c r="T111" s="242">
        <f>(((9985*(T64*0.8))+((220*(T64*0.85))+((85*(T64*0.825))+(T64*65)+(T109*0.015)+(T109*0.03)))))*0.7</f>
        <v>13814.36875</v>
      </c>
      <c r="U111" s="242">
        <f t="shared" si="163"/>
        <v>0</v>
      </c>
      <c r="V111" s="242">
        <f t="shared" si="163"/>
        <v>0</v>
      </c>
      <c r="W111" s="242">
        <f t="shared" si="163"/>
        <v>0</v>
      </c>
      <c r="X111" s="241">
        <f t="shared" si="132"/>
        <v>197580.9196253742</v>
      </c>
      <c r="Z111" s="242">
        <f>(((9985*(Z64*0.8))+((220*(Z64*0.85))+((85*(Z64*0.825))+(Z64*65)+(Z109*0.015)+(Z109*0.03)))))</f>
        <v>155688.50582246159</v>
      </c>
      <c r="AA111" s="242">
        <f t="shared" ref="AA111:AE111" si="164">(((9985*(AA64*0.8))+((220*(AA64*0.85))+((85*(AA64*0.825))+(AA64*65)+(AA109*0.015)+(AA109*0.03)))))</f>
        <v>32089.624130869997</v>
      </c>
      <c r="AB111" s="242">
        <f t="shared" si="164"/>
        <v>19471.45</v>
      </c>
      <c r="AC111" s="242">
        <f t="shared" si="164"/>
        <v>0</v>
      </c>
      <c r="AD111" s="242">
        <f t="shared" si="164"/>
        <v>0</v>
      </c>
      <c r="AE111" s="242">
        <f t="shared" si="164"/>
        <v>0</v>
      </c>
      <c r="AF111" s="241">
        <f t="shared" si="133"/>
        <v>207249.57995333162</v>
      </c>
      <c r="AH111" s="242">
        <f>(((9985*(AH64*0.8))+((220*(AH64*0.85))+((85*(AH64*0.825))+(AH64*65)+(AH109*0.015)+(AH109*0.03)))))</f>
        <v>397618.15709772002</v>
      </c>
      <c r="AI111" s="242">
        <f t="shared" ref="AI111:AM111" si="165">(((9985*(AI64*0.8))+((220*(AI64*0.85))+((85*(AI64*0.825))+(AI64*65)+(AI109*0.015)+(AI109*0.03)))))</f>
        <v>16855.815211500001</v>
      </c>
      <c r="AJ111" s="242">
        <f>(((9985*(AJ64*0.8))+((220*(AJ64*0.85))+((85*(AJ64*0.825))+(AJ64*65)+(AJ109*0.015)+(AJ109*0.03)))))*0.7</f>
        <v>26372.674999999999</v>
      </c>
      <c r="AK111" s="242">
        <f t="shared" si="165"/>
        <v>0</v>
      </c>
      <c r="AL111" s="242">
        <f t="shared" si="165"/>
        <v>0</v>
      </c>
      <c r="AM111" s="242">
        <f t="shared" si="165"/>
        <v>0</v>
      </c>
      <c r="AN111" s="241">
        <f t="shared" si="134"/>
        <v>440846.64730921999</v>
      </c>
      <c r="AP111" s="242">
        <f>(((9985*(AP64*0.8))+((220*(AP64*0.85))+((85*(AP64*0.825))+(AP64*65)+(AP109*0.015)+(AP109*0.03)))))</f>
        <v>101601.799965</v>
      </c>
      <c r="AQ111" s="242">
        <f t="shared" ref="AQ111:AU111" si="166">(((9985*(AQ64*0.8))+((220*(AQ64*0.85))+((85*(AQ64*0.825))+(AQ64*65)+(AQ109*0.015)+(AQ109*0.03)))))</f>
        <v>11787.390874999999</v>
      </c>
      <c r="AR111" s="242">
        <f>(((9985*(AR64*0.8))+((220*(AR64*0.85))+((85*(AR64*0.825))+(AR64*65)+(AR109*0.015)+(AR109*0.03)))))*0.65</f>
        <v>6275.5712500000009</v>
      </c>
      <c r="AS111" s="242">
        <f t="shared" si="166"/>
        <v>0</v>
      </c>
      <c r="AT111" s="242">
        <f t="shared" si="166"/>
        <v>0</v>
      </c>
      <c r="AU111" s="242">
        <f t="shared" si="166"/>
        <v>0</v>
      </c>
      <c r="AV111" s="241">
        <f t="shared" si="135"/>
        <v>119664.76209</v>
      </c>
      <c r="AX111" s="242">
        <f>(((7600*(AX64*0.8))+((190*(AX64*0.85))+((70*(AX64*0.825))+(AX64*50)+(AX109*0.015)+(AX109*0.03)))))</f>
        <v>0</v>
      </c>
      <c r="AY111" s="242">
        <f>(((7600*(AY64*0.8))+((190*(AY64*0.85))+((70*(AY64*0.825))+(AY64*50)+(AY109*0.015)+(AY109*0.03)))))</f>
        <v>0</v>
      </c>
      <c r="AZ111" s="242">
        <f t="shared" ref="AZ111:BC111" si="167">(((7600*(AZ64*0.8))+((190*(AZ64*0.85))+((70*(AZ64*0.825))+(AZ64*50)+(AZ109*0.015)+(AZ109*0.03)))))</f>
        <v>0</v>
      </c>
      <c r="BA111" s="242">
        <f t="shared" si="167"/>
        <v>0</v>
      </c>
      <c r="BB111" s="242">
        <f t="shared" si="167"/>
        <v>0</v>
      </c>
      <c r="BC111" s="242">
        <f t="shared" si="167"/>
        <v>0</v>
      </c>
      <c r="BD111" s="241">
        <f t="shared" si="136"/>
        <v>0</v>
      </c>
      <c r="BF111" s="242">
        <f>BF109*0.19</f>
        <v>46482.544765500003</v>
      </c>
      <c r="BG111" s="242">
        <f t="shared" ref="BG111:BK111" si="168">BG109*0.175</f>
        <v>0</v>
      </c>
      <c r="BH111" s="242">
        <f>BH109*0.1</f>
        <v>2636.25</v>
      </c>
      <c r="BI111" s="242">
        <f t="shared" si="168"/>
        <v>0</v>
      </c>
      <c r="BJ111" s="242">
        <f t="shared" si="168"/>
        <v>0</v>
      </c>
      <c r="BK111" s="242">
        <f t="shared" si="168"/>
        <v>0</v>
      </c>
      <c r="BL111" s="241">
        <f t="shared" si="137"/>
        <v>49118.794765500003</v>
      </c>
      <c r="BN111" s="241">
        <f t="shared" ref="BN111:BN115" si="169">B111+J111+R111+Z111+AH111+AP111+AX111+BF111</f>
        <v>1465954.6816667472</v>
      </c>
      <c r="BO111" s="241">
        <f t="shared" si="159"/>
        <v>140580.23090475501</v>
      </c>
      <c r="BP111" s="241">
        <f t="shared" si="159"/>
        <v>120421.51999999999</v>
      </c>
      <c r="BQ111" s="241">
        <f t="shared" si="159"/>
        <v>0</v>
      </c>
      <c r="BR111" s="241">
        <f t="shared" si="159"/>
        <v>0</v>
      </c>
      <c r="BS111" s="241">
        <f t="shared" si="159"/>
        <v>0</v>
      </c>
      <c r="BT111" s="241">
        <f t="shared" si="160"/>
        <v>1726956.4325715022</v>
      </c>
    </row>
    <row r="112" spans="1:72" x14ac:dyDescent="0.25">
      <c r="A112" s="201" t="s">
        <v>245</v>
      </c>
      <c r="B112" s="242">
        <f>(2500*B39)+(2000*B40)+((1500*(B42+B44+B45))+((1250*(B46+B47+B53))+((1250*(B57+B58+B60))+((500*(B52+B51+B49+B48))))))+(1000*5)</f>
        <v>17750</v>
      </c>
      <c r="C112" s="242">
        <f>(2500*C39)+(2000*C40)+((1500*(C42+C44+C45))+((1250*(C46+C47+C53))+((1250*(C57+C58+C60))+((500*(C52+C51+C49+C48))))))</f>
        <v>2000</v>
      </c>
      <c r="D112" s="242">
        <f>(2500*D39)+(2000*D40)+((1500*(D42+D44+D45))+((1250*(D46+D47+D53))+((1250*(D57+D58+D60))+((500*(D52+D51+D49+D48))))))</f>
        <v>1000</v>
      </c>
      <c r="E112" s="242">
        <f>(2500*E39)+(2000*E40)+((1500*(E42+E44+E45))+((1250*(E46+E47+E53))+((1250*(E57+E58+E60))+((500*(E52+E51+E49+E48))))))</f>
        <v>0</v>
      </c>
      <c r="F112" s="242">
        <f t="shared" ref="F112:G112" si="170">(2500*F39)+(2000*F40)+((1500*(F42+F44+F45))+((1250*(F46+F47+F53))+((1250*(F57+F58+F60))+((500*(F52+F51+F49+F48))))))</f>
        <v>0</v>
      </c>
      <c r="G112" s="242">
        <f t="shared" si="170"/>
        <v>0</v>
      </c>
      <c r="H112" s="241">
        <f t="shared" si="130"/>
        <v>20750</v>
      </c>
      <c r="J112" s="242">
        <f>(2500*J39)+(2000*J40)+((1500*(J42+J44+J45))+((1250*(J46+J47+J53))+((1250*(J57+J58+J60))+((500*(J52+J51+J49+J48))))))+(1000*20)</f>
        <v>66000</v>
      </c>
      <c r="K112" s="242">
        <f>(2500*K39)+(2000*K40)+((1500*(K42+K44+K45))+((1250*(K46+K47+K53))+((1250*(K57+K58+K60))+((500*(K52+K51+K49+K48))))))</f>
        <v>0</v>
      </c>
      <c r="L112" s="242">
        <f>(2500*L39)+(2000*L40)+((1500*(L42+L44+L45))+((1250*(L46+L47+L53))+((1250*(L57+L58+L60))+((500*(L52+L51+L49+L48))))))</f>
        <v>3000</v>
      </c>
      <c r="M112" s="242">
        <f>(2500*M39)+(2000*M40)+((1500*(M42+M44+M45))+((1250*(M46+M47+M53))+((1250*(M57+M58+M60))+((500*(M52+M51+M49+M48))))))</f>
        <v>0</v>
      </c>
      <c r="N112" s="242">
        <f t="shared" ref="N112:O112" si="171">(2500*N39)+(2000*N40)+((1500*(N42+N44+N45))+((1250*(N46+N47+N53))+((1250*(N57+N58+N60))+((500*(N52+N51+N49+N48))))))</f>
        <v>0</v>
      </c>
      <c r="O112" s="242">
        <f t="shared" si="171"/>
        <v>0</v>
      </c>
      <c r="P112" s="241">
        <f t="shared" si="131"/>
        <v>69000</v>
      </c>
      <c r="R112" s="242">
        <f>(2500*R39)+(2000*R40)+((1500*(R42+R44+R45))+((1250*(R46+R47+R53))+((1250*(R57+R58+R60))+((500*(R52+R51+R49+R48))))))+(1000*10)</f>
        <v>26875</v>
      </c>
      <c r="S112" s="242">
        <f>(2500*S39)+(2000*S40)+((1500*(S42+S44+S45))+((1250*(S46+S47+S53))+((1250*(S57+S58+S60))+((500*(S52+S51+S49+S48))))))</f>
        <v>0</v>
      </c>
      <c r="T112" s="242">
        <f>(2500*T39)+(2000*T40)+((1500*(T42+T44+T45))+((1250*(T46+T47+T53))+((1250*(T57+T58+T60))+((500*(T52+T51+T49+T48))))))</f>
        <v>1000</v>
      </c>
      <c r="U112" s="242">
        <f>(2500*U39)+(2000*U40)+((1500*(U42+U44+U45))+((1250*(U46+U47+U53))+((1250*(U57+U58+U60))+((500*(U52+U51+U49+U48))))))</f>
        <v>0</v>
      </c>
      <c r="V112" s="242">
        <f t="shared" ref="V112:W112" si="172">(2500*V39)+(2000*V40)+((1500*(V42+V44+V45))+((1250*(V46+V47+V53))+((1250*(V57+V58+V60))+((500*(V52+V51+V49+V48))))))</f>
        <v>0</v>
      </c>
      <c r="W112" s="242">
        <f t="shared" si="172"/>
        <v>0</v>
      </c>
      <c r="X112" s="241">
        <f t="shared" si="132"/>
        <v>27875</v>
      </c>
      <c r="Z112" s="242">
        <f>(2500*Z39)+(2000*Z40)+((1500*(Z42+Z44+Z45))+((1250*(Z46+Z47+Z53))+((1250*(Z57+Z58+Z60))+((500*(Z52+Z51+Z49+Z48))))))+(1000*18)</f>
        <v>31375</v>
      </c>
      <c r="AA112" s="242">
        <f>(2500*AA39)+(2000*AA40)+((1500*(AA42+AA44+AA45))+((1250*(AA46+AA47+AA53))+((1250*(AA57+AA58+AA60))+((500*(AA52+AA51+AA49+AA48))))))</f>
        <v>412.5</v>
      </c>
      <c r="AB112" s="242">
        <f>(2500*AB39)+(2000*AB40)+((1500*(AB42+AB44+AB45))+((1250*(AB46+AB47+AB53))+((1250*(AB57+AB58+AB60))+((500*(AB52+AB51+AB49+AB48))))))</f>
        <v>1000</v>
      </c>
      <c r="AC112" s="242">
        <f>(2500*AC39)+(2000*AC40)+((1500*(AC42+AC44+AC45))+((1250*(AC46+AC47+AC53))+((1250*(AC57+AC58+AC60))+((500*(AC52+AC51+AC49+AC48))))))</f>
        <v>0</v>
      </c>
      <c r="AD112" s="242">
        <f t="shared" ref="AD112:AE112" si="173">(2500*AD39)+(2000*AD40)+((1500*(AD42+AD44+AD45))+((1250*(AD46+AD47+AD53))+((1250*(AD57+AD58+AD60))+((500*(AD52+AD51+AD49+AD48))))))</f>
        <v>0</v>
      </c>
      <c r="AE112" s="242">
        <f t="shared" si="173"/>
        <v>0</v>
      </c>
      <c r="AF112" s="241">
        <f t="shared" si="133"/>
        <v>32787.5</v>
      </c>
      <c r="AH112" s="242">
        <f>(2500*AH39)+(2000*AH40)+((1500*(AH42+AH44+AH45))+((1250*(AH46+AH47+AH53))+((1250*(AH57+AH58+AH60))+((500*(AH52+AH51+AH49+AH48))))))+(1000*25)</f>
        <v>61250</v>
      </c>
      <c r="AI112" s="242">
        <f>(2500*AI39)+(2000*AI40)+((1500*(AI42+AI44+AI45))+((1250*(AI46+AI47+AI53))+((1250*(AI57+AI58+AI60))+((500*(AI52+AI51+AI49+AI48))))))</f>
        <v>625</v>
      </c>
      <c r="AJ112" s="242">
        <f>(2500*AJ39)+(2000*AJ40)+((1500*(AJ42+AJ44+AJ45))+((1250*(AJ46+AJ47+AJ53))+((1250*(AJ57+AJ58+AJ60))+((500*(AJ52+AJ51+AJ49+AJ48))))))</f>
        <v>2000</v>
      </c>
      <c r="AK112" s="242">
        <f>(2500*AK39)+(2000*AK40)+((1500*(AK42+AK44+AK45))+((1250*(AK46+AK47+AK53))+((1250*(AK57+AK58+AK60))+((500*(AK52+AK51+AK49+AK48))))))</f>
        <v>0</v>
      </c>
      <c r="AL112" s="242">
        <f t="shared" ref="AL112:AM112" si="174">(2500*AL39)+(2000*AL40)+((1500*(AL42+AL44+AL45))+((1250*(AL46+AL47+AL53))+((1250*(AL57+AL58+AL60))+((500*(AL52+AL51+AL49+AL48))))))</f>
        <v>0</v>
      </c>
      <c r="AM112" s="242">
        <f t="shared" si="174"/>
        <v>0</v>
      </c>
      <c r="AN112" s="241">
        <f t="shared" si="134"/>
        <v>63875</v>
      </c>
      <c r="AP112" s="242">
        <f>(2500*AP39)+(2000*AP40)+((1500*(AP42+AP44+AP45))+((1250*(AP46+AP47+AP53))+((1250*(AP57+AP58+AP60))+((500*(AP52+AP51+AP49+AP48))))))</f>
        <v>11000</v>
      </c>
      <c r="AQ112" s="242">
        <f>(2500*AQ39)+(2000*AQ40)+((1500*(AQ42+AQ44+AQ45))+((1250*(AQ46+AQ47+AQ53))+((1250*(AQ57+AQ58+AQ60))+((500*(AQ52+AQ51+AQ49+AQ48))))))</f>
        <v>0</v>
      </c>
      <c r="AR112" s="242">
        <f>(2500*AR39)+(2000*AR40)+((1500*(AR42+AR44+AR45))+((1250*(AR46+AR47+AR53))+((1250*(AR57+AR58+AR60))+((500*(AR52+AR51+AR49+AR48))))))</f>
        <v>500</v>
      </c>
      <c r="AS112" s="242">
        <f>(2500*AS39)+(2000*AS40)+((1500*(AS42+AS44+AS45))+((1250*(AS46+AS47+AS53))+((1250*(AS57+AS58+AS60))+((500*(AS52+AS51+AS49+AS48))))))</f>
        <v>0</v>
      </c>
      <c r="AT112" s="242">
        <f t="shared" ref="AT112:AU112" si="175">(2500*AT39)+(2000*AT40)+((1500*(AT42+AT44+AT45))+((1250*(AT46+AT47+AT53))+((1250*(AT57+AT58+AT60))+((500*(AT52+AT51+AT49+AT48))))))</f>
        <v>0</v>
      </c>
      <c r="AU112" s="242">
        <f t="shared" si="175"/>
        <v>0</v>
      </c>
      <c r="AV112" s="241">
        <f t="shared" si="135"/>
        <v>11500</v>
      </c>
      <c r="AX112" s="242">
        <f>(2500*AX39)+(2000*AX40)+((1500*(AX42+AX44+AX45))+((1250*(AX46+AX47+AX53))+((1250*(AX57+AX58+AX60))+((500*(AX52+AX51+AX49+AX48))))))</f>
        <v>0</v>
      </c>
      <c r="AY112" s="242">
        <f>(2500*AY39)+(2000*AY40)+((1500*(AY42+AY44+AY45))+((1250*(AY46+AY47+AY53))+((1250*(AY57+AY58+AY60))+((500*(AY52+AY51+AY49+AY48))))))</f>
        <v>0</v>
      </c>
      <c r="AZ112" s="242">
        <f>(2500*AZ39)+(2000*AZ40)+((1500*(AZ42+AZ44+AZ45))+((1250*(AZ46+AZ47+AZ53))+((1250*(AZ57+AZ58+AZ60))+((500*(AZ52+AZ51+AZ49+AZ48))))))</f>
        <v>0</v>
      </c>
      <c r="BA112" s="242">
        <f>(2500*BA39)+(2000*BA40)+((1500*(BA42+BA44+BA45))+((1250*(BA46+BA47+BA53))+((1250*(BA57+BA58+BA60))+((500*(BA52+BA51+BA49+BA48))))))</f>
        <v>0</v>
      </c>
      <c r="BB112" s="242">
        <f t="shared" ref="BB112:BC112" si="176">(2500*BB39)+(2000*BB40)+((1500*(BB42+BB44+BB45))+((1250*(BB46+BB47+BB53))+((1250*(BB57+BB58+BB60))+((500*(BB52+BB51+BB49+BB48))))))</f>
        <v>0</v>
      </c>
      <c r="BC112" s="242">
        <f t="shared" si="176"/>
        <v>0</v>
      </c>
      <c r="BD112" s="241">
        <f t="shared" si="136"/>
        <v>0</v>
      </c>
      <c r="BF112" s="242">
        <f>(2500*BF39)+(2000*BF40)+((1500*(BF42+BF44+BF45))+((1250*(BF46+BF47+BF53))+((1250*(BF57+BF58+BF60))+((500*(BF52+BF51+BF49+BF48))))))+(1000*1)</f>
        <v>4750</v>
      </c>
      <c r="BG112" s="242">
        <f>(2500*BG39)+(2000*BG40)+((1500*(BG42+BG44+BG45))+((1250*(BG46+BG47+BG53))+((1250*(BG57+BG58+BG60))+((500*(BG52+BG51+BG49+BG48))))))</f>
        <v>0</v>
      </c>
      <c r="BH112" s="242">
        <f>(2500*BH39)+(2000*BH40)+((1500*(BH42+BH44+BH45))+((1250*(BH46+BH47+BH53))+((1250*(BH57+BH58+BH60))+((500*(BH52+BH51+BH49+BH48))))))</f>
        <v>500</v>
      </c>
      <c r="BI112" s="242">
        <f>(2500*BI39)+(2000*BI40)+((1500*(BI42+BI44+BI45))+((1250*(BI46+BI47+BI53))+((1250*(BI57+BI58+BI60))+((500*(BI52+BI51+BI49+BI48))))))</f>
        <v>0</v>
      </c>
      <c r="BJ112" s="242">
        <f t="shared" ref="BJ112:BK112" si="177">(2500*BJ39)+(2000*BJ40)+((1500*(BJ42+BJ44+BJ45))+((1250*(BJ46+BJ47+BJ53))+((1250*(BJ57+BJ58+BJ60))+((500*(BJ52+BJ51+BJ49+BJ48))))))</f>
        <v>0</v>
      </c>
      <c r="BK112" s="242">
        <f t="shared" si="177"/>
        <v>0</v>
      </c>
      <c r="BL112" s="241">
        <f t="shared" si="137"/>
        <v>5250</v>
      </c>
      <c r="BN112" s="241">
        <f t="shared" si="169"/>
        <v>219000</v>
      </c>
      <c r="BO112" s="241">
        <f t="shared" si="159"/>
        <v>3037.5</v>
      </c>
      <c r="BP112" s="241">
        <f t="shared" si="159"/>
        <v>9000</v>
      </c>
      <c r="BQ112" s="241">
        <f t="shared" si="159"/>
        <v>0</v>
      </c>
      <c r="BR112" s="241">
        <f t="shared" si="159"/>
        <v>0</v>
      </c>
      <c r="BS112" s="241">
        <f t="shared" si="159"/>
        <v>0</v>
      </c>
      <c r="BT112" s="241">
        <f t="shared" si="160"/>
        <v>231037.5</v>
      </c>
    </row>
    <row r="113" spans="1:72" x14ac:dyDescent="0.25">
      <c r="A113" s="201" t="s">
        <v>246</v>
      </c>
      <c r="B113" s="242">
        <f>(500*B39)+(250*B40)+((175*(B42+B44+B45))+((175*(B46+B47+B53))+((175*(B57+B58+B60))+((75*(B52+B51+B49+B48))))))*1.09+(175*10)</f>
        <v>3731</v>
      </c>
      <c r="C113" s="242">
        <f>(500*C39)+(250*C40)+((175*(C42+C44+C45))+((175*(C46+C47+C53))+((175*(C57+C58+C60))+((75*(C52+C51+C49+C48))))))*1.09</f>
        <v>250</v>
      </c>
      <c r="D113" s="242">
        <f t="shared" ref="D113:G113" si="178">(500*D39)+(250*D40)+((175*(D42+D44+D45))+((175*(D46+D47+D53))+((175*(D57+D58+D60))+((75*(D52+D51+D49+D48))))))*1.09</f>
        <v>163.5</v>
      </c>
      <c r="E113" s="242">
        <f t="shared" si="178"/>
        <v>0</v>
      </c>
      <c r="F113" s="242">
        <f t="shared" si="178"/>
        <v>0</v>
      </c>
      <c r="G113" s="242">
        <f t="shared" si="178"/>
        <v>0</v>
      </c>
      <c r="H113" s="241">
        <f t="shared" si="130"/>
        <v>4144.5</v>
      </c>
      <c r="J113" s="242">
        <f>(500*J39)+(250*J40)+((175*(J42+J44+J45))+((175*(J46+J47+J53))+((175*(J57+J58+J60))+((75*(J52+J51+J49+J48))))))*1.09+(175*20)</f>
        <v>9996.25</v>
      </c>
      <c r="K113" s="242">
        <f>(500*K39)+(250*K40)+((175*(K42+K44+K45))+((175*(K46+K47+K53))+((175*(K57+K58+K60))+((75*(K52+K51+K49+K48))))))*1.09</f>
        <v>0</v>
      </c>
      <c r="L113" s="242">
        <f t="shared" ref="L113:O113" si="179">(500*L39)+(250*L40)+((175*(L42+L44+L45))+((175*(L46+L47+L53))+((175*(L57+L58+L60))+((75*(L52+L51+L49+L48))))))*1.09</f>
        <v>490.50000000000006</v>
      </c>
      <c r="M113" s="242">
        <f t="shared" si="179"/>
        <v>0</v>
      </c>
      <c r="N113" s="242">
        <f t="shared" si="179"/>
        <v>0</v>
      </c>
      <c r="O113" s="242">
        <f t="shared" si="179"/>
        <v>0</v>
      </c>
      <c r="P113" s="241">
        <f t="shared" si="131"/>
        <v>10486.75</v>
      </c>
      <c r="R113" s="242">
        <f>(500*R39)+(250*R40)+((175*(R42+R44+R45))+((175*(R46+R47+R53))+((175*(R57+R58+R60))+((75*(R52+R51+R49+R48))))))*1.09+(175*15)</f>
        <v>5142.125</v>
      </c>
      <c r="S113" s="242">
        <f>(500*S39)+(250*S40)+((175*(S42+S44+S45))+((175*(S46+S47+S53))+((175*(S57+S58+S60))+((75*(S52+S51+S49+S48))))))*1.09</f>
        <v>0</v>
      </c>
      <c r="T113" s="242">
        <f t="shared" ref="T113:W113" si="180">(500*T39)+(250*T40)+((175*(T42+T44+T45))+((175*(T46+T47+T53))+((175*(T57+T58+T60))+((75*(T52+T51+T49+T48))))))*1.09</f>
        <v>163.5</v>
      </c>
      <c r="U113" s="242">
        <f t="shared" si="180"/>
        <v>0</v>
      </c>
      <c r="V113" s="242">
        <f t="shared" si="180"/>
        <v>0</v>
      </c>
      <c r="W113" s="242">
        <f t="shared" si="180"/>
        <v>0</v>
      </c>
      <c r="X113" s="241">
        <f t="shared" si="132"/>
        <v>5305.625</v>
      </c>
      <c r="Z113" s="242">
        <f>(500*Z39)+(250*Z40)+((175*(Z42+Z44+Z45))+((175*(Z46+Z47+Z53))+((175*(Z57+Z58+Z60))+((75*(Z52+Z51+Z49+Z48))))))*1.09+(175*15)</f>
        <v>4701.375</v>
      </c>
      <c r="AA113" s="242">
        <f>(500*AA39)+(250*AA40)+((175*(AA42+AA44+AA45))+((175*(AA46+AA47+AA53))+((175*(AA57+AA58+AA60))+((75*(AA52+AA51+AA49+AA48))))))*1.09</f>
        <v>62.947500000000005</v>
      </c>
      <c r="AB113" s="242">
        <f t="shared" ref="AB113:AE113" si="181">(500*AB39)+(250*AB40)+((175*(AB42+AB44+AB45))+((175*(AB46+AB47+AB53))+((175*(AB57+AB58+AB60))+((75*(AB52+AB51+AB49+AB48))))))*1.09</f>
        <v>163.5</v>
      </c>
      <c r="AC113" s="242">
        <f t="shared" si="181"/>
        <v>0</v>
      </c>
      <c r="AD113" s="242">
        <f t="shared" si="181"/>
        <v>0</v>
      </c>
      <c r="AE113" s="242">
        <f t="shared" si="181"/>
        <v>0</v>
      </c>
      <c r="AF113" s="241">
        <f t="shared" si="133"/>
        <v>4927.8225000000002</v>
      </c>
      <c r="AH113" s="242">
        <f>(500*AH39)+(250*AH40)+((175*(AH42+AH44+AH45))+((175*(AH46+AH47+AH53))+((175*(AH57+AH58+AH60))+((75*(AH52+AH51+AH49+AH48))))))*1.09+(175*15)</f>
        <v>7858.25</v>
      </c>
      <c r="AI113" s="242">
        <f>(500*AI39)+(250*AI40)+((175*(AI42+AI44+AI45))+((175*(AI46+AI47+AI53))+((175*(AI57+AI58+AI60))+((75*(AI52+AI51+AI49+AI48))))))*1.09</f>
        <v>95.375</v>
      </c>
      <c r="AJ113" s="242">
        <f t="shared" ref="AJ113:AM113" si="182">(500*AJ39)+(250*AJ40)+((175*(AJ42+AJ44+AJ45))+((175*(AJ46+AJ47+AJ53))+((175*(AJ57+AJ58+AJ60))+((75*(AJ52+AJ51+AJ49+AJ48))))))*1.09</f>
        <v>327</v>
      </c>
      <c r="AK113" s="242">
        <f t="shared" si="182"/>
        <v>0</v>
      </c>
      <c r="AL113" s="242">
        <f t="shared" si="182"/>
        <v>0</v>
      </c>
      <c r="AM113" s="242">
        <f t="shared" si="182"/>
        <v>0</v>
      </c>
      <c r="AN113" s="241">
        <f t="shared" si="134"/>
        <v>8280.625</v>
      </c>
      <c r="AP113" s="242">
        <f>(500*AP39)+(250*AP40)+((175*(AP42+AP44+AP45))+((175*(AP46+AP47+AP53))+((175*(AP57+AP58+AP60))+((75*(AP52+AP51+AP49+AP48))))))*1.09+(175*10)</f>
        <v>3458.5</v>
      </c>
      <c r="AQ113" s="242">
        <f>(500*AQ39)+(250*AQ40)+((175*(AQ42+AQ44+AQ45))+((175*(AQ46+AQ47+AQ53))+((175*(AQ57+AQ58+AQ60))+((75*(AQ52+AQ51+AQ49+AQ48))))))*1.09</f>
        <v>0</v>
      </c>
      <c r="AR113" s="242">
        <f t="shared" ref="AR113:AU113" si="183">(500*AR39)+(250*AR40)+((175*(AR42+AR44+AR45))+((175*(AR46+AR47+AR53))+((175*(AR57+AR58+AR60))+((75*(AR52+AR51+AR49+AR48))))))*1.09</f>
        <v>81.75</v>
      </c>
      <c r="AS113" s="242">
        <f t="shared" si="183"/>
        <v>0</v>
      </c>
      <c r="AT113" s="242">
        <f t="shared" si="183"/>
        <v>0</v>
      </c>
      <c r="AU113" s="242">
        <f t="shared" si="183"/>
        <v>0</v>
      </c>
      <c r="AV113" s="241">
        <f t="shared" si="135"/>
        <v>3540.25</v>
      </c>
      <c r="AX113" s="242">
        <f>(500*AX39)+(250*AX40)+((175*(AX42+AX44+AX45))+((175*(AX46+AX47+AX53))+((175*(AX57+AX58+AX60))+((75*(AX52+AX51+AX49+AX48))))))*1.09</f>
        <v>0</v>
      </c>
      <c r="AY113" s="242">
        <f>(500*AY39)+(250*AY40)+((175*(AY42+AY44+AY45))+((175*(AY46+AY47+AY53))+((175*(AY57+AY58+AY60))+((75*(AY52+AY51+AY49+AY48))))))*1.09</f>
        <v>0</v>
      </c>
      <c r="AZ113" s="242">
        <f t="shared" ref="AZ113:BC113" si="184">(500*AZ39)+(250*AZ40)+((175*(AZ42+AZ44+AZ45))+((175*(AZ46+AZ47+AZ53))+((175*(AZ57+AZ58+AZ60))+((75*(AZ52+AZ51+AZ49+AZ48))))))*1.09</f>
        <v>0</v>
      </c>
      <c r="BA113" s="242">
        <f t="shared" si="184"/>
        <v>0</v>
      </c>
      <c r="BB113" s="242">
        <f t="shared" si="184"/>
        <v>0</v>
      </c>
      <c r="BC113" s="242">
        <f t="shared" si="184"/>
        <v>0</v>
      </c>
      <c r="BD113" s="241">
        <f t="shared" si="136"/>
        <v>0</v>
      </c>
      <c r="BF113" s="242">
        <f>(500*BF39)+(250*BF40)+((175*(BF42+BF44+BF45))+((175*(BF46+BF47+BF53))+((175*(BF57+BF58+BF60))+((75*(BF52+BF51+BF49+BF48))))))*1.09+(175*5)</f>
        <v>1397.5</v>
      </c>
      <c r="BG113" s="242">
        <f>(500*BG39)+(250*BG40)+((175*(BG42+BG44+BG45))+((175*(BG46+BG47+BG53))+((175*(BG57+BG58+BG60))+((75*(BG52+BG51+BG49+BG48))))))*1.09</f>
        <v>0</v>
      </c>
      <c r="BH113" s="242">
        <f t="shared" ref="BH113:BK113" si="185">(500*BH39)+(250*BH40)+((175*(BH42+BH44+BH45))+((175*(BH46+BH47+BH53))+((175*(BH57+BH58+BH60))+((75*(BH52+BH51+BH49+BH48))))))*1.09</f>
        <v>81.75</v>
      </c>
      <c r="BI113" s="242">
        <f t="shared" si="185"/>
        <v>0</v>
      </c>
      <c r="BJ113" s="242">
        <f t="shared" si="185"/>
        <v>0</v>
      </c>
      <c r="BK113" s="242">
        <f t="shared" si="185"/>
        <v>0</v>
      </c>
      <c r="BL113" s="241">
        <f t="shared" si="137"/>
        <v>1479.25</v>
      </c>
      <c r="BN113" s="241">
        <f t="shared" si="169"/>
        <v>36285</v>
      </c>
      <c r="BO113" s="241">
        <f t="shared" si="159"/>
        <v>408.32249999999999</v>
      </c>
      <c r="BP113" s="241">
        <f t="shared" si="159"/>
        <v>1471.5</v>
      </c>
      <c r="BQ113" s="241">
        <f t="shared" si="159"/>
        <v>0</v>
      </c>
      <c r="BR113" s="241">
        <f t="shared" si="159"/>
        <v>0</v>
      </c>
      <c r="BS113" s="241">
        <f t="shared" si="159"/>
        <v>0</v>
      </c>
      <c r="BT113" s="241">
        <f t="shared" si="160"/>
        <v>38164.822500000002</v>
      </c>
    </row>
    <row r="114" spans="1:72" x14ac:dyDescent="0.25">
      <c r="A114" s="201" t="s">
        <v>247</v>
      </c>
      <c r="B114" s="244"/>
      <c r="C114" s="244"/>
      <c r="D114" s="244"/>
      <c r="E114" s="244"/>
      <c r="F114" s="244"/>
      <c r="G114" s="244"/>
      <c r="H114" s="241">
        <f t="shared" si="130"/>
        <v>0</v>
      </c>
      <c r="J114" s="244"/>
      <c r="K114" s="244"/>
      <c r="L114" s="244"/>
      <c r="M114" s="244"/>
      <c r="N114" s="244"/>
      <c r="O114" s="244"/>
      <c r="P114" s="241">
        <f t="shared" si="131"/>
        <v>0</v>
      </c>
      <c r="R114" s="244"/>
      <c r="S114" s="244"/>
      <c r="T114" s="244"/>
      <c r="U114" s="244"/>
      <c r="V114" s="244"/>
      <c r="W114" s="244"/>
      <c r="X114" s="241">
        <f t="shared" si="132"/>
        <v>0</v>
      </c>
      <c r="Z114" s="244"/>
      <c r="AA114" s="244"/>
      <c r="AB114" s="244"/>
      <c r="AC114" s="244"/>
      <c r="AD114" s="244"/>
      <c r="AE114" s="244"/>
      <c r="AF114" s="241">
        <f t="shared" si="133"/>
        <v>0</v>
      </c>
      <c r="AH114" s="244">
        <v>2500</v>
      </c>
      <c r="AI114" s="244"/>
      <c r="AJ114" s="244"/>
      <c r="AK114" s="244"/>
      <c r="AL114" s="244"/>
      <c r="AM114" s="244"/>
      <c r="AN114" s="241">
        <f t="shared" si="134"/>
        <v>2500</v>
      </c>
      <c r="AP114" s="244">
        <v>2500</v>
      </c>
      <c r="AQ114" s="244"/>
      <c r="AR114" s="244"/>
      <c r="AS114" s="244"/>
      <c r="AT114" s="244"/>
      <c r="AU114" s="244"/>
      <c r="AV114" s="241">
        <f t="shared" si="135"/>
        <v>2500</v>
      </c>
      <c r="AX114" s="244"/>
      <c r="AY114" s="244"/>
      <c r="AZ114" s="244"/>
      <c r="BA114" s="244"/>
      <c r="BB114" s="244"/>
      <c r="BC114" s="244"/>
      <c r="BD114" s="241">
        <f t="shared" si="136"/>
        <v>0</v>
      </c>
      <c r="BF114" s="242">
        <v>10000</v>
      </c>
      <c r="BG114" s="242"/>
      <c r="BH114" s="242"/>
      <c r="BI114" s="242"/>
      <c r="BJ114" s="242"/>
      <c r="BK114" s="242"/>
      <c r="BL114" s="241">
        <f t="shared" si="137"/>
        <v>10000</v>
      </c>
      <c r="BN114" s="241">
        <f t="shared" si="169"/>
        <v>15000</v>
      </c>
      <c r="BO114" s="241">
        <f t="shared" si="159"/>
        <v>0</v>
      </c>
      <c r="BP114" s="241">
        <f t="shared" si="159"/>
        <v>0</v>
      </c>
      <c r="BQ114" s="241">
        <f t="shared" si="159"/>
        <v>0</v>
      </c>
      <c r="BR114" s="241">
        <f t="shared" si="159"/>
        <v>0</v>
      </c>
      <c r="BS114" s="241">
        <f t="shared" si="159"/>
        <v>0</v>
      </c>
      <c r="BT114" s="241">
        <f t="shared" si="160"/>
        <v>15000</v>
      </c>
    </row>
    <row r="115" spans="1:72" x14ac:dyDescent="0.25">
      <c r="A115" s="202" t="s">
        <v>248</v>
      </c>
      <c r="B115" s="245">
        <v>3000</v>
      </c>
      <c r="C115" s="245"/>
      <c r="D115" s="245"/>
      <c r="E115" s="245"/>
      <c r="F115" s="245"/>
      <c r="G115" s="245"/>
      <c r="H115" s="241">
        <f t="shared" si="130"/>
        <v>3000</v>
      </c>
      <c r="J115" s="245">
        <v>3000</v>
      </c>
      <c r="K115" s="245"/>
      <c r="L115" s="245"/>
      <c r="M115" s="245"/>
      <c r="N115" s="245"/>
      <c r="O115" s="245"/>
      <c r="P115" s="241">
        <f t="shared" si="131"/>
        <v>3000</v>
      </c>
      <c r="R115" s="245">
        <v>3000</v>
      </c>
      <c r="S115" s="245"/>
      <c r="T115" s="245"/>
      <c r="U115" s="245"/>
      <c r="V115" s="245"/>
      <c r="W115" s="245"/>
      <c r="X115" s="241">
        <f t="shared" si="132"/>
        <v>3000</v>
      </c>
      <c r="Z115" s="245">
        <v>3000</v>
      </c>
      <c r="AA115" s="245"/>
      <c r="AB115" s="245"/>
      <c r="AC115" s="245"/>
      <c r="AD115" s="245"/>
      <c r="AE115" s="245"/>
      <c r="AF115" s="241">
        <f t="shared" si="133"/>
        <v>3000</v>
      </c>
      <c r="AH115" s="245">
        <v>3000</v>
      </c>
      <c r="AI115" s="245"/>
      <c r="AJ115" s="245"/>
      <c r="AK115" s="245"/>
      <c r="AL115" s="245"/>
      <c r="AM115" s="245"/>
      <c r="AN115" s="241">
        <f t="shared" si="134"/>
        <v>3000</v>
      </c>
      <c r="AP115" s="245">
        <v>0</v>
      </c>
      <c r="AQ115" s="245"/>
      <c r="AR115" s="245"/>
      <c r="AS115" s="245"/>
      <c r="AT115" s="245"/>
      <c r="AU115" s="245"/>
      <c r="AV115" s="241">
        <f t="shared" si="135"/>
        <v>0</v>
      </c>
      <c r="AX115" s="245">
        <v>0</v>
      </c>
      <c r="AY115" s="245"/>
      <c r="AZ115" s="245"/>
      <c r="BA115" s="245"/>
      <c r="BB115" s="245"/>
      <c r="BC115" s="245"/>
      <c r="BD115" s="241">
        <f t="shared" si="136"/>
        <v>0</v>
      </c>
      <c r="BF115" s="282"/>
      <c r="BG115" s="282"/>
      <c r="BH115" s="282"/>
      <c r="BI115" s="282"/>
      <c r="BJ115" s="282"/>
      <c r="BK115" s="282"/>
      <c r="BL115" s="241">
        <f t="shared" si="137"/>
        <v>0</v>
      </c>
      <c r="BN115" s="241">
        <f t="shared" si="169"/>
        <v>15000</v>
      </c>
      <c r="BO115" s="241">
        <f t="shared" si="159"/>
        <v>0</v>
      </c>
      <c r="BP115" s="241">
        <f t="shared" si="159"/>
        <v>0</v>
      </c>
      <c r="BQ115" s="241">
        <f t="shared" si="159"/>
        <v>0</v>
      </c>
      <c r="BR115" s="241">
        <f t="shared" si="159"/>
        <v>0</v>
      </c>
      <c r="BS115" s="241">
        <f t="shared" si="159"/>
        <v>0</v>
      </c>
      <c r="BT115" s="241">
        <f t="shared" si="160"/>
        <v>15000</v>
      </c>
    </row>
    <row r="116" spans="1:72" x14ac:dyDescent="0.25">
      <c r="A116" s="207" t="s">
        <v>330</v>
      </c>
      <c r="B116" s="258">
        <f>SUM(B110:B115)</f>
        <v>450109.05786717281</v>
      </c>
      <c r="C116" s="258">
        <f t="shared" ref="C116:H116" si="186">SUM(C110:C115)</f>
        <v>94297.942271875014</v>
      </c>
      <c r="D116" s="258">
        <f t="shared" si="186"/>
        <v>37228.990000000005</v>
      </c>
      <c r="E116" s="258">
        <f t="shared" si="186"/>
        <v>0</v>
      </c>
      <c r="F116" s="258">
        <f t="shared" si="186"/>
        <v>0</v>
      </c>
      <c r="G116" s="258">
        <f t="shared" si="186"/>
        <v>0</v>
      </c>
      <c r="H116" s="258">
        <f t="shared" si="186"/>
        <v>581635.99013904785</v>
      </c>
      <c r="J116" s="258">
        <f>SUM(J110:J115)</f>
        <v>1603111.7388470781</v>
      </c>
      <c r="K116" s="258">
        <f t="shared" ref="K116:P116" si="187">SUM(K110:K115)</f>
        <v>137439.86238060001</v>
      </c>
      <c r="L116" s="258">
        <f t="shared" si="187"/>
        <v>107473.065</v>
      </c>
      <c r="M116" s="258">
        <f t="shared" si="187"/>
        <v>0</v>
      </c>
      <c r="N116" s="258">
        <f t="shared" si="187"/>
        <v>0</v>
      </c>
      <c r="O116" s="258">
        <f t="shared" si="187"/>
        <v>0</v>
      </c>
      <c r="P116" s="258">
        <f t="shared" si="187"/>
        <v>1848024.6662276781</v>
      </c>
      <c r="R116" s="258">
        <f>SUM(R110:R115)</f>
        <v>580694.26268837252</v>
      </c>
      <c r="S116" s="258">
        <f t="shared" ref="S116:X116" si="188">SUM(S110:S115)</f>
        <v>69928.095627682502</v>
      </c>
      <c r="T116" s="258">
        <f t="shared" si="188"/>
        <v>41451.65</v>
      </c>
      <c r="U116" s="258">
        <f t="shared" si="188"/>
        <v>0</v>
      </c>
      <c r="V116" s="258">
        <f t="shared" si="188"/>
        <v>0</v>
      </c>
      <c r="W116" s="258">
        <f t="shared" si="188"/>
        <v>0</v>
      </c>
      <c r="X116" s="258">
        <f t="shared" si="188"/>
        <v>692074.00831605494</v>
      </c>
      <c r="Z116" s="258">
        <f>SUM(Z110:Z115)</f>
        <v>495531.71123497956</v>
      </c>
      <c r="AA116" s="258">
        <f t="shared" ref="AA116:AF116" si="189">SUM(AA110:AA115)</f>
        <v>105426.81986826498</v>
      </c>
      <c r="AB116" s="258">
        <f t="shared" si="189"/>
        <v>44870.15</v>
      </c>
      <c r="AC116" s="258">
        <f t="shared" si="189"/>
        <v>0</v>
      </c>
      <c r="AD116" s="258">
        <f t="shared" si="189"/>
        <v>0</v>
      </c>
      <c r="AE116" s="258">
        <f t="shared" si="189"/>
        <v>0</v>
      </c>
      <c r="AF116" s="258">
        <f t="shared" si="189"/>
        <v>645828.68110324466</v>
      </c>
      <c r="AH116" s="258">
        <f>SUM(AH110:AH115)</f>
        <v>1309082.49242834</v>
      </c>
      <c r="AI116" s="258">
        <f t="shared" ref="AI116:AN116" si="190">SUM(AI110:AI115)</f>
        <v>54896.525759249998</v>
      </c>
      <c r="AJ116" s="258">
        <f t="shared" si="190"/>
        <v>66395.05</v>
      </c>
      <c r="AK116" s="258">
        <f t="shared" si="190"/>
        <v>0</v>
      </c>
      <c r="AL116" s="258">
        <f t="shared" si="190"/>
        <v>0</v>
      </c>
      <c r="AM116" s="258">
        <f t="shared" si="190"/>
        <v>0</v>
      </c>
      <c r="AN116" s="258">
        <f t="shared" si="190"/>
        <v>1430374.06818759</v>
      </c>
      <c r="AP116" s="258">
        <f>SUM(AP110:AP115)</f>
        <v>346451.03716750001</v>
      </c>
      <c r="AQ116" s="258">
        <f t="shared" ref="AQ116:AV116" si="191">SUM(AQ110:AQ115)</f>
        <v>41344.150812499996</v>
      </c>
      <c r="AR116" s="258">
        <f t="shared" si="191"/>
        <v>18286.421249999999</v>
      </c>
      <c r="AS116" s="258">
        <f t="shared" si="191"/>
        <v>0</v>
      </c>
      <c r="AT116" s="258">
        <f t="shared" si="191"/>
        <v>0</v>
      </c>
      <c r="AU116" s="258">
        <f t="shared" si="191"/>
        <v>0</v>
      </c>
      <c r="AV116" s="258">
        <f t="shared" si="191"/>
        <v>406081.60922999994</v>
      </c>
      <c r="AX116" s="258">
        <f>SUM(AX110:AX115)</f>
        <v>0</v>
      </c>
      <c r="AY116" s="258">
        <f t="shared" ref="AY116:BD116" si="192">SUM(AY110:AY115)</f>
        <v>0</v>
      </c>
      <c r="AZ116" s="258">
        <f t="shared" si="192"/>
        <v>0</v>
      </c>
      <c r="BA116" s="258">
        <f t="shared" si="192"/>
        <v>0</v>
      </c>
      <c r="BB116" s="258">
        <f t="shared" si="192"/>
        <v>0</v>
      </c>
      <c r="BC116" s="258">
        <f t="shared" si="192"/>
        <v>0</v>
      </c>
      <c r="BD116" s="258">
        <f t="shared" si="192"/>
        <v>0</v>
      </c>
      <c r="BF116" s="258">
        <f>SUM(BF110:BF115)</f>
        <v>156206.74672762502</v>
      </c>
      <c r="BG116" s="258">
        <f t="shared" ref="BG116:BL116" si="193">SUM(BG110:BG115)</f>
        <v>0</v>
      </c>
      <c r="BH116" s="258">
        <f t="shared" si="193"/>
        <v>13301.65625</v>
      </c>
      <c r="BI116" s="258">
        <f t="shared" si="193"/>
        <v>0</v>
      </c>
      <c r="BJ116" s="258">
        <f t="shared" si="193"/>
        <v>0</v>
      </c>
      <c r="BK116" s="258">
        <f t="shared" si="193"/>
        <v>0</v>
      </c>
      <c r="BL116" s="258">
        <f t="shared" si="193"/>
        <v>169508.40297762502</v>
      </c>
      <c r="BN116" s="258">
        <f>SUM(BN110:BN115)</f>
        <v>4941187.0469610682</v>
      </c>
      <c r="BO116" s="258">
        <f t="shared" ref="BO116:BT116" si="194">SUM(BO110:BO115)</f>
        <v>503333.39672017255</v>
      </c>
      <c r="BP116" s="258">
        <f t="shared" si="194"/>
        <v>329006.98250000004</v>
      </c>
      <c r="BQ116" s="258">
        <f t="shared" si="194"/>
        <v>0</v>
      </c>
      <c r="BR116" s="258">
        <f t="shared" si="194"/>
        <v>0</v>
      </c>
      <c r="BS116" s="258">
        <f t="shared" si="194"/>
        <v>0</v>
      </c>
      <c r="BT116" s="258">
        <f t="shared" si="194"/>
        <v>5773527.42618124</v>
      </c>
    </row>
    <row r="117" spans="1:72" x14ac:dyDescent="0.25">
      <c r="B117" s="259"/>
      <c r="C117" s="259"/>
      <c r="D117" s="259"/>
      <c r="E117" s="259"/>
      <c r="F117" s="259"/>
      <c r="G117" s="259"/>
      <c r="H117" s="259"/>
    </row>
    <row r="118" spans="1:72" x14ac:dyDescent="0.25">
      <c r="A118" s="208" t="s">
        <v>331</v>
      </c>
      <c r="B118" s="260" t="s">
        <v>309</v>
      </c>
      <c r="C118" s="260" t="s">
        <v>310</v>
      </c>
      <c r="D118" s="260" t="s">
        <v>311</v>
      </c>
      <c r="E118" s="260" t="str">
        <f>E91</f>
        <v>Other</v>
      </c>
      <c r="F118" s="260" t="s">
        <v>315</v>
      </c>
      <c r="G118" s="260" t="s">
        <v>314</v>
      </c>
      <c r="H118" s="261" t="str">
        <f>H91</f>
        <v>Horizon</v>
      </c>
      <c r="J118" s="260" t="s">
        <v>309</v>
      </c>
      <c r="K118" s="260" t="s">
        <v>310</v>
      </c>
      <c r="L118" s="260" t="s">
        <v>311</v>
      </c>
      <c r="M118" s="260" t="str">
        <f>M91</f>
        <v>Other</v>
      </c>
      <c r="N118" s="260" t="s">
        <v>315</v>
      </c>
      <c r="O118" s="260" t="s">
        <v>314</v>
      </c>
      <c r="P118" s="261" t="str">
        <f>P91</f>
        <v>Cadence</v>
      </c>
      <c r="R118" s="260" t="s">
        <v>309</v>
      </c>
      <c r="S118" s="260" t="s">
        <v>310</v>
      </c>
      <c r="T118" s="260" t="s">
        <v>311</v>
      </c>
      <c r="U118" s="260" t="str">
        <f>U91</f>
        <v>Other</v>
      </c>
      <c r="V118" s="260" t="s">
        <v>315</v>
      </c>
      <c r="W118" s="260" t="s">
        <v>314</v>
      </c>
      <c r="X118" s="261" t="str">
        <f>X91</f>
        <v>St. Rose</v>
      </c>
      <c r="Z118" s="260" t="s">
        <v>309</v>
      </c>
      <c r="AA118" s="260" t="s">
        <v>310</v>
      </c>
      <c r="AB118" s="260" t="s">
        <v>311</v>
      </c>
      <c r="AC118" s="260" t="str">
        <f>AC91</f>
        <v>Other</v>
      </c>
      <c r="AD118" s="260" t="s">
        <v>315</v>
      </c>
      <c r="AE118" s="260" t="s">
        <v>314</v>
      </c>
      <c r="AF118" s="261" t="str">
        <f>AF91</f>
        <v>Inspirada</v>
      </c>
      <c r="AH118" s="260" t="s">
        <v>309</v>
      </c>
      <c r="AI118" s="260" t="s">
        <v>310</v>
      </c>
      <c r="AJ118" s="260" t="s">
        <v>311</v>
      </c>
      <c r="AK118" s="260" t="str">
        <f>AK91</f>
        <v>Other</v>
      </c>
      <c r="AL118" s="260" t="s">
        <v>315</v>
      </c>
      <c r="AM118" s="260" t="s">
        <v>314</v>
      </c>
      <c r="AN118" s="261" t="str">
        <f>AN91</f>
        <v>Sloan</v>
      </c>
      <c r="AP118" s="260" t="s">
        <v>309</v>
      </c>
      <c r="AQ118" s="260" t="s">
        <v>310</v>
      </c>
      <c r="AR118" s="260" t="s">
        <v>311</v>
      </c>
      <c r="AS118" s="260" t="str">
        <f>AS91</f>
        <v>Other</v>
      </c>
      <c r="AT118" s="260" t="s">
        <v>315</v>
      </c>
      <c r="AU118" s="260" t="s">
        <v>314</v>
      </c>
      <c r="AV118" s="261" t="str">
        <f>AV91</f>
        <v>Springs</v>
      </c>
      <c r="AX118" s="260" t="s">
        <v>309</v>
      </c>
      <c r="AY118" s="260" t="s">
        <v>310</v>
      </c>
      <c r="AZ118" s="260" t="s">
        <v>311</v>
      </c>
      <c r="BA118" s="260" t="str">
        <f>BA91</f>
        <v>Other</v>
      </c>
      <c r="BB118" s="260" t="s">
        <v>315</v>
      </c>
      <c r="BC118" s="260" t="s">
        <v>314</v>
      </c>
      <c r="BD118" s="261" t="str">
        <f>BD91</f>
        <v>Virtual</v>
      </c>
      <c r="BF118" s="260" t="s">
        <v>309</v>
      </c>
      <c r="BG118" s="260" t="s">
        <v>310</v>
      </c>
      <c r="BH118" s="260" t="s">
        <v>311</v>
      </c>
      <c r="BI118" s="260" t="str">
        <f>BI91</f>
        <v>Other</v>
      </c>
      <c r="BJ118" s="260" t="s">
        <v>315</v>
      </c>
      <c r="BK118" s="260" t="s">
        <v>314</v>
      </c>
      <c r="BL118" s="261" t="str">
        <f>BL91</f>
        <v>Central</v>
      </c>
      <c r="BN118" s="260" t="s">
        <v>309</v>
      </c>
      <c r="BO118" s="260" t="s">
        <v>310</v>
      </c>
      <c r="BP118" s="260" t="s">
        <v>311</v>
      </c>
      <c r="BQ118" s="260" t="str">
        <f>BQ91</f>
        <v>Other</v>
      </c>
      <c r="BR118" s="260" t="s">
        <v>315</v>
      </c>
      <c r="BS118" s="260" t="s">
        <v>314</v>
      </c>
      <c r="BT118" s="261" t="str">
        <f>BT91</f>
        <v>System</v>
      </c>
    </row>
    <row r="119" spans="1:72" x14ac:dyDescent="0.25">
      <c r="A119" s="200" t="s">
        <v>249</v>
      </c>
      <c r="B119" s="257">
        <f>84915*1.01*1.01*1.01</f>
        <v>87488.009414999993</v>
      </c>
      <c r="C119" s="257"/>
      <c r="D119" s="257"/>
      <c r="E119" s="257"/>
      <c r="F119" s="257">
        <f>65000*1.01</f>
        <v>65650</v>
      </c>
      <c r="G119" s="257"/>
      <c r="H119" s="241">
        <f t="shared" ref="H119:H131" si="195">SUM(B119:G119)</f>
        <v>153138.00941499998</v>
      </c>
      <c r="J119" s="241">
        <f>(81000+75000+80000)*1.01*1.01*1.01</f>
        <v>243151.03600000002</v>
      </c>
      <c r="K119" s="241"/>
      <c r="L119" s="257"/>
      <c r="M119" s="257"/>
      <c r="N119" s="257"/>
      <c r="O119" s="257"/>
      <c r="P119" s="241">
        <f t="shared" ref="P119:P131" si="196">SUM(J119:O119)</f>
        <v>243151.03600000002</v>
      </c>
      <c r="R119" s="241">
        <f>77500*1.01*1.01*1.01</f>
        <v>79848.327499999999</v>
      </c>
      <c r="S119" s="241"/>
      <c r="T119" s="257"/>
      <c r="U119" s="257"/>
      <c r="V119" s="257">
        <v>0</v>
      </c>
      <c r="W119" s="257"/>
      <c r="X119" s="241">
        <f t="shared" ref="X119:X131" si="197">SUM(R119:W119)</f>
        <v>79848.327499999999</v>
      </c>
      <c r="Z119" s="241">
        <f>(75706+84460+88000)*1.01*1.01*1.01</f>
        <v>255685.67796599999</v>
      </c>
      <c r="AA119" s="241"/>
      <c r="AB119" s="257"/>
      <c r="AC119" s="257"/>
      <c r="AD119" s="257"/>
      <c r="AE119" s="257"/>
      <c r="AF119" s="241">
        <f t="shared" ref="AF119:AF131" si="198">SUM(Z119:AE119)</f>
        <v>255685.67796599999</v>
      </c>
      <c r="AH119" s="241">
        <f>(72000+74500)*1.01*1.01*1.01</f>
        <v>150939.09649999999</v>
      </c>
      <c r="AI119" s="241"/>
      <c r="AJ119" s="257"/>
      <c r="AK119" s="257"/>
      <c r="AL119" s="257">
        <v>0</v>
      </c>
      <c r="AM119" s="257"/>
      <c r="AN119" s="241">
        <f t="shared" ref="AN119:AN131" si="199">SUM(AH119:AM119)</f>
        <v>150939.09649999999</v>
      </c>
      <c r="AP119" s="241">
        <f>80000*1.01</f>
        <v>80800</v>
      </c>
      <c r="AQ119" s="241"/>
      <c r="AR119" s="257"/>
      <c r="AS119" s="257"/>
      <c r="AT119" s="257"/>
      <c r="AU119" s="257"/>
      <c r="AV119" s="241">
        <f t="shared" ref="AV119:AV131" si="200">SUM(AP119:AU119)</f>
        <v>80800</v>
      </c>
      <c r="AX119" s="241"/>
      <c r="AY119" s="241"/>
      <c r="AZ119" s="257"/>
      <c r="BA119" s="257"/>
      <c r="BB119" s="257"/>
      <c r="BC119" s="257"/>
      <c r="BD119" s="241">
        <f t="shared" ref="BD119:BD131" si="201">SUM(AX119:BC119)</f>
        <v>0</v>
      </c>
      <c r="BF119" s="257">
        <v>0</v>
      </c>
      <c r="BG119" s="257"/>
      <c r="BH119" s="257"/>
      <c r="BI119" s="257"/>
      <c r="BJ119" s="257">
        <f>(95000+1500+1000)*1.01*1.01*1.01</f>
        <v>100454.3475</v>
      </c>
      <c r="BK119" s="257"/>
      <c r="BL119" s="241">
        <f t="shared" ref="BL119:BL131" si="202">SUM(BF119:BK119)</f>
        <v>100454.3475</v>
      </c>
      <c r="BN119" s="241">
        <f>B119+J119+R119+Z119+AH119+AP119+AX119+BF119</f>
        <v>897912.14738099999</v>
      </c>
      <c r="BO119" s="241">
        <f t="shared" ref="BO119:BS124" si="203">C119+K119+S119+AA119+AI119+AQ119+AY119+BG119</f>
        <v>0</v>
      </c>
      <c r="BP119" s="241">
        <f t="shared" si="203"/>
        <v>0</v>
      </c>
      <c r="BQ119" s="241">
        <f t="shared" si="203"/>
        <v>0</v>
      </c>
      <c r="BR119" s="241">
        <f t="shared" si="203"/>
        <v>166104.3475</v>
      </c>
      <c r="BS119" s="241">
        <f t="shared" si="203"/>
        <v>0</v>
      </c>
      <c r="BT119" s="241">
        <f t="shared" ref="BT119:BT120" si="204">SUM(BN119:BS119)</f>
        <v>1064016.4948809999</v>
      </c>
    </row>
    <row r="120" spans="1:72" x14ac:dyDescent="0.25">
      <c r="A120" s="201" t="s">
        <v>192</v>
      </c>
      <c r="B120" s="244"/>
      <c r="C120" s="244"/>
      <c r="D120" s="244"/>
      <c r="E120" s="244"/>
      <c r="F120" s="244"/>
      <c r="G120" s="244"/>
      <c r="H120" s="241">
        <f t="shared" si="195"/>
        <v>0</v>
      </c>
      <c r="J120" s="242">
        <f>75115*1.01*1.01*1.01</f>
        <v>77391.059614999991</v>
      </c>
      <c r="K120" s="242"/>
      <c r="L120" s="244"/>
      <c r="M120" s="244"/>
      <c r="N120" s="244"/>
      <c r="O120" s="244"/>
      <c r="P120" s="241">
        <f t="shared" si="196"/>
        <v>77391.059614999991</v>
      </c>
      <c r="R120" s="242"/>
      <c r="S120" s="242"/>
      <c r="T120" s="244"/>
      <c r="U120" s="244"/>
      <c r="V120" s="244"/>
      <c r="W120" s="244"/>
      <c r="X120" s="241">
        <f t="shared" si="197"/>
        <v>0</v>
      </c>
      <c r="Z120" s="242"/>
      <c r="AA120" s="242"/>
      <c r="AB120" s="244"/>
      <c r="AC120" s="244"/>
      <c r="AD120" s="244"/>
      <c r="AE120" s="244"/>
      <c r="AF120" s="241">
        <f t="shared" si="198"/>
        <v>0</v>
      </c>
      <c r="AH120" s="242"/>
      <c r="AI120" s="242"/>
      <c r="AJ120" s="244"/>
      <c r="AK120" s="244"/>
      <c r="AL120" s="244"/>
      <c r="AM120" s="244"/>
      <c r="AN120" s="241">
        <f t="shared" si="199"/>
        <v>0</v>
      </c>
      <c r="AP120" s="242">
        <f>75500*1.01*1.01*1.01</f>
        <v>77787.7255</v>
      </c>
      <c r="AQ120" s="242"/>
      <c r="AR120" s="244"/>
      <c r="AS120" s="244"/>
      <c r="AT120" s="244"/>
      <c r="AU120" s="244"/>
      <c r="AV120" s="241">
        <f t="shared" si="200"/>
        <v>77787.7255</v>
      </c>
      <c r="AX120" s="242">
        <f>95176*1.01*1.01*1.01</f>
        <v>98059.927975999992</v>
      </c>
      <c r="AY120" s="242"/>
      <c r="AZ120" s="244"/>
      <c r="BA120" s="244"/>
      <c r="BB120" s="244"/>
      <c r="BC120" s="244"/>
      <c r="BD120" s="241">
        <f t="shared" si="201"/>
        <v>98059.927975999992</v>
      </c>
      <c r="BF120" s="244"/>
      <c r="BG120" s="244"/>
      <c r="BH120" s="244"/>
      <c r="BI120" s="244"/>
      <c r="BJ120" s="244"/>
      <c r="BK120" s="244"/>
      <c r="BL120" s="241">
        <f t="shared" si="202"/>
        <v>0</v>
      </c>
      <c r="BN120" s="241">
        <f t="shared" ref="BN120:BN124" si="205">B120+J120+R120+Z120+AH120+AP120+AX120+BF120</f>
        <v>253238.71309099998</v>
      </c>
      <c r="BO120" s="241">
        <f t="shared" si="203"/>
        <v>0</v>
      </c>
      <c r="BP120" s="241">
        <f t="shared" si="203"/>
        <v>0</v>
      </c>
      <c r="BQ120" s="241">
        <f t="shared" si="203"/>
        <v>0</v>
      </c>
      <c r="BR120" s="241">
        <f t="shared" si="203"/>
        <v>0</v>
      </c>
      <c r="BS120" s="241">
        <f t="shared" si="203"/>
        <v>0</v>
      </c>
      <c r="BT120" s="241">
        <f t="shared" si="204"/>
        <v>253238.71309099998</v>
      </c>
    </row>
    <row r="121" spans="1:72" x14ac:dyDescent="0.25">
      <c r="A121" s="201" t="s">
        <v>250</v>
      </c>
      <c r="B121" s="242">
        <f>63000*B36+17500+2404</f>
        <v>2665904</v>
      </c>
      <c r="C121" s="244"/>
      <c r="D121" s="244"/>
      <c r="E121" s="244"/>
      <c r="F121" s="244"/>
      <c r="G121" s="244"/>
      <c r="H121" s="241">
        <f>SUM(B121:G121)</f>
        <v>2665904</v>
      </c>
      <c r="J121" s="242">
        <f>65450*J36+(1000*40)+20000</f>
        <v>6670450</v>
      </c>
      <c r="K121" s="242"/>
      <c r="L121" s="244"/>
      <c r="M121" s="244"/>
      <c r="N121" s="244"/>
      <c r="O121" s="244"/>
      <c r="P121" s="241">
        <f>SUM(J121:O121)</f>
        <v>6670450</v>
      </c>
      <c r="R121" s="242">
        <f>65100*R36+6218</f>
        <v>2870618</v>
      </c>
      <c r="S121" s="242"/>
      <c r="T121" s="244"/>
      <c r="U121" s="244"/>
      <c r="V121" s="244"/>
      <c r="W121" s="244"/>
      <c r="X121" s="241">
        <f>SUM(R121:W121)</f>
        <v>2870618</v>
      </c>
      <c r="Y121" s="71"/>
      <c r="Z121" s="242">
        <f>62950*Z36+7000+25500</f>
        <v>3557700</v>
      </c>
      <c r="AA121" s="242"/>
      <c r="AB121" s="244"/>
      <c r="AC121" s="244"/>
      <c r="AD121" s="244"/>
      <c r="AE121" s="244"/>
      <c r="AF121" s="241">
        <f>SUM(Z121:AE121)</f>
        <v>3557700</v>
      </c>
      <c r="AH121" s="242">
        <f>65200*AH36+(500*30)</f>
        <v>6600200</v>
      </c>
      <c r="AI121" s="242"/>
      <c r="AJ121" s="244"/>
      <c r="AK121" s="244"/>
      <c r="AL121" s="244"/>
      <c r="AM121" s="244"/>
      <c r="AN121" s="241">
        <f>SUM(AH121:AM121)</f>
        <v>6600200</v>
      </c>
      <c r="AP121" s="242">
        <f>60500*AP36</f>
        <v>2299000</v>
      </c>
      <c r="AQ121" s="242"/>
      <c r="AR121" s="244"/>
      <c r="AS121" s="244"/>
      <c r="AT121" s="244"/>
      <c r="AU121" s="244"/>
      <c r="AV121" s="241">
        <f>SUM(AP121:AU121)</f>
        <v>2299000</v>
      </c>
      <c r="AX121" s="242">
        <f>62000*AX36</f>
        <v>0</v>
      </c>
      <c r="AY121" s="242"/>
      <c r="AZ121" s="244"/>
      <c r="BA121" s="244"/>
      <c r="BB121" s="244"/>
      <c r="BC121" s="244"/>
      <c r="BD121" s="241">
        <f>SUM(AX121:BC121)</f>
        <v>0</v>
      </c>
      <c r="BF121" s="244">
        <f>(80500+1500)*1.01*1.01*1.01</f>
        <v>84484.682000000001</v>
      </c>
      <c r="BG121" s="244"/>
      <c r="BH121" s="244"/>
      <c r="BI121" s="244"/>
      <c r="BJ121" s="244"/>
      <c r="BK121" s="244"/>
      <c r="BL121" s="241">
        <f>SUM(BF121:BK121)</f>
        <v>84484.682000000001</v>
      </c>
      <c r="BN121" s="241">
        <f t="shared" si="205"/>
        <v>24748356.682</v>
      </c>
      <c r="BO121" s="241">
        <f t="shared" si="203"/>
        <v>0</v>
      </c>
      <c r="BP121" s="241">
        <f t="shared" si="203"/>
        <v>0</v>
      </c>
      <c r="BQ121" s="241">
        <f t="shared" si="203"/>
        <v>0</v>
      </c>
      <c r="BR121" s="241">
        <f t="shared" si="203"/>
        <v>0</v>
      </c>
      <c r="BS121" s="241">
        <f t="shared" si="203"/>
        <v>0</v>
      </c>
      <c r="BT121" s="241">
        <f>SUM(BN121:BS121)</f>
        <v>24748356.682</v>
      </c>
    </row>
    <row r="122" spans="1:72" x14ac:dyDescent="0.25">
      <c r="A122" s="201" t="s">
        <v>181</v>
      </c>
      <c r="B122" s="244"/>
      <c r="C122" s="244">
        <f>63000*C28</f>
        <v>315000</v>
      </c>
      <c r="D122" s="244"/>
      <c r="E122" s="244"/>
      <c r="F122" s="244"/>
      <c r="G122" s="244"/>
      <c r="H122" s="241">
        <f t="shared" si="195"/>
        <v>315000</v>
      </c>
      <c r="J122" s="242"/>
      <c r="K122" s="242">
        <f>65450*K36</f>
        <v>850850</v>
      </c>
      <c r="L122" s="244"/>
      <c r="M122" s="244"/>
      <c r="N122" s="244"/>
      <c r="O122" s="244"/>
      <c r="P122" s="241">
        <f t="shared" si="196"/>
        <v>850850</v>
      </c>
      <c r="R122" s="242"/>
      <c r="S122" s="242">
        <f>65100*S36</f>
        <v>260400</v>
      </c>
      <c r="T122" s="244"/>
      <c r="U122" s="244"/>
      <c r="V122" s="244"/>
      <c r="W122" s="244"/>
      <c r="X122" s="241">
        <f t="shared" si="197"/>
        <v>260400</v>
      </c>
      <c r="Y122" s="71"/>
      <c r="Z122" s="242"/>
      <c r="AA122" s="242">
        <f>62950*AA36</f>
        <v>314750</v>
      </c>
      <c r="AB122" s="244"/>
      <c r="AC122" s="244"/>
      <c r="AD122" s="244"/>
      <c r="AE122" s="244"/>
      <c r="AF122" s="241">
        <f t="shared" si="198"/>
        <v>314750</v>
      </c>
      <c r="AH122" s="242"/>
      <c r="AI122" s="242">
        <f>65200*AI36</f>
        <v>847600</v>
      </c>
      <c r="AJ122" s="244"/>
      <c r="AK122" s="244"/>
      <c r="AL122" s="244"/>
      <c r="AM122" s="244"/>
      <c r="AN122" s="241">
        <f t="shared" si="199"/>
        <v>847600</v>
      </c>
      <c r="AP122" s="242"/>
      <c r="AQ122" s="242">
        <f>66500*AQ36</f>
        <v>266000</v>
      </c>
      <c r="AR122" s="244"/>
      <c r="AS122" s="244"/>
      <c r="AT122" s="244"/>
      <c r="AU122" s="244"/>
      <c r="AV122" s="241">
        <f t="shared" si="200"/>
        <v>266000</v>
      </c>
      <c r="AX122" s="242"/>
      <c r="AY122" s="242">
        <f>83000*1.01*1.01*1.01</f>
        <v>85514.983000000007</v>
      </c>
      <c r="AZ122" s="244"/>
      <c r="BA122" s="244"/>
      <c r="BB122" s="244"/>
      <c r="BC122" s="244"/>
      <c r="BD122" s="241">
        <f t="shared" si="201"/>
        <v>85514.983000000007</v>
      </c>
      <c r="BF122" s="244"/>
      <c r="BG122" s="244"/>
      <c r="BH122" s="244"/>
      <c r="BI122" s="244"/>
      <c r="BJ122" s="244"/>
      <c r="BK122" s="244"/>
      <c r="BL122" s="241">
        <f t="shared" si="202"/>
        <v>0</v>
      </c>
      <c r="BN122" s="241">
        <f t="shared" si="205"/>
        <v>0</v>
      </c>
      <c r="BO122" s="241">
        <f t="shared" si="203"/>
        <v>2940114.983</v>
      </c>
      <c r="BP122" s="241">
        <f t="shared" si="203"/>
        <v>0</v>
      </c>
      <c r="BQ122" s="241">
        <f t="shared" si="203"/>
        <v>0</v>
      </c>
      <c r="BR122" s="241">
        <f t="shared" si="203"/>
        <v>0</v>
      </c>
      <c r="BS122" s="241">
        <f t="shared" si="203"/>
        <v>0</v>
      </c>
      <c r="BT122" s="241">
        <f t="shared" ref="BT122" si="206">SUM(BN122:BS122)</f>
        <v>2940114.983</v>
      </c>
    </row>
    <row r="123" spans="1:72" x14ac:dyDescent="0.25">
      <c r="A123" s="201" t="s">
        <v>251</v>
      </c>
      <c r="B123" s="244">
        <f>(21.75*7.55*180)*B50</f>
        <v>118233</v>
      </c>
      <c r="C123" s="244">
        <f>(21.75*8*180)*C50</f>
        <v>125280</v>
      </c>
      <c r="D123" s="244"/>
      <c r="E123" s="244">
        <f>(20.25*8*180)*E50</f>
        <v>0</v>
      </c>
      <c r="F123" s="244">
        <f>(20.75*8*180)*F50</f>
        <v>0</v>
      </c>
      <c r="G123" s="244">
        <f>(20.25*8*180)*G50</f>
        <v>0</v>
      </c>
      <c r="H123" s="241">
        <f>SUM(B123:G123)</f>
        <v>243513</v>
      </c>
      <c r="J123" s="242">
        <f>(21.5*8*180)*J50</f>
        <v>309600</v>
      </c>
      <c r="K123" s="242">
        <f>(21.5*8*180)*K50</f>
        <v>371520</v>
      </c>
      <c r="L123" s="244"/>
      <c r="M123" s="244"/>
      <c r="N123" s="244"/>
      <c r="O123" s="244">
        <f>(20.25*8*180)*O50</f>
        <v>0</v>
      </c>
      <c r="P123" s="241">
        <f>SUM(J123:O123)</f>
        <v>681120</v>
      </c>
      <c r="R123" s="242">
        <f>(21.75*7.5*180)*R50</f>
        <v>176175</v>
      </c>
      <c r="S123" s="242">
        <f>(21.75*7.5*180)*S50</f>
        <v>117450</v>
      </c>
      <c r="T123" s="244"/>
      <c r="U123" s="244"/>
      <c r="V123" s="244"/>
      <c r="W123" s="244">
        <f>(20.25*8*180)*W50</f>
        <v>0</v>
      </c>
      <c r="X123" s="241">
        <f>SUM(R123:W123)</f>
        <v>293625</v>
      </c>
      <c r="Z123" s="242">
        <f>(20.75*8*180)*Z50</f>
        <v>149400</v>
      </c>
      <c r="AA123" s="242">
        <f>(20.75*8*180)*AA50</f>
        <v>149400</v>
      </c>
      <c r="AB123" s="244"/>
      <c r="AC123" s="244"/>
      <c r="AD123" s="244"/>
      <c r="AE123" s="244">
        <f>(20.25*8*180)*AE50</f>
        <v>0</v>
      </c>
      <c r="AF123" s="241">
        <f>SUM(Z123:AE123)</f>
        <v>298800</v>
      </c>
      <c r="AH123" s="242">
        <f>(21.75*8*180)*AH50</f>
        <v>156600</v>
      </c>
      <c r="AI123" s="242">
        <f>(21.75*8*180)*AI50</f>
        <v>375840</v>
      </c>
      <c r="AJ123" s="244"/>
      <c r="AK123" s="244"/>
      <c r="AL123" s="244"/>
      <c r="AM123" s="244">
        <f>(20.25*8*180)*AM50</f>
        <v>0</v>
      </c>
      <c r="AN123" s="241">
        <f>SUM(AH123:AM123)</f>
        <v>532440</v>
      </c>
      <c r="AP123" s="242">
        <f>(21.75*8*180)*AP50</f>
        <v>31320</v>
      </c>
      <c r="AQ123" s="242">
        <f>(20.75*8*180)*AQ50</f>
        <v>119520</v>
      </c>
      <c r="AR123" s="244"/>
      <c r="AS123" s="244"/>
      <c r="AT123" s="244">
        <f>(37918+24973+40000+40000)*1.01</f>
        <v>144319.91</v>
      </c>
      <c r="AU123" s="244">
        <f>(20.25*8*180)*AU50</f>
        <v>0</v>
      </c>
      <c r="AV123" s="241">
        <f>SUM(AP123:AU123)</f>
        <v>295159.91000000003</v>
      </c>
      <c r="AX123" s="242">
        <f>(21.75*7.5*180)*AX50+500</f>
        <v>88587.5</v>
      </c>
      <c r="AY123" s="242">
        <f>(21.75*7.5*180)*AY50+500</f>
        <v>29862.5</v>
      </c>
      <c r="AZ123" s="244"/>
      <c r="BA123" s="244"/>
      <c r="BB123" s="244">
        <f>21189*1.01*1.01*1.01</f>
        <v>21831.047889000001</v>
      </c>
      <c r="BC123" s="244">
        <f>(20.25*8*180)*BC50</f>
        <v>0</v>
      </c>
      <c r="BD123" s="241">
        <f>SUM(AX123:BC123)</f>
        <v>140281.04788900001</v>
      </c>
      <c r="BF123" s="244"/>
      <c r="BG123" s="244"/>
      <c r="BH123" s="244"/>
      <c r="BI123" s="244"/>
      <c r="BJ123" s="244"/>
      <c r="BK123" s="244">
        <f>(20.25*8*180)*BK50</f>
        <v>0</v>
      </c>
      <c r="BL123" s="241">
        <f>SUM(BF123:BK123)</f>
        <v>0</v>
      </c>
      <c r="BN123" s="241">
        <f t="shared" si="205"/>
        <v>1029915.5</v>
      </c>
      <c r="BO123" s="241">
        <f t="shared" si="203"/>
        <v>1288872.5</v>
      </c>
      <c r="BP123" s="241">
        <f t="shared" si="203"/>
        <v>0</v>
      </c>
      <c r="BQ123" s="241">
        <f t="shared" si="203"/>
        <v>0</v>
      </c>
      <c r="BR123" s="241">
        <f t="shared" si="203"/>
        <v>166150.95788900001</v>
      </c>
      <c r="BS123" s="241">
        <f t="shared" si="203"/>
        <v>0</v>
      </c>
      <c r="BT123" s="241">
        <f>SUM(BN123:BS123)</f>
        <v>2484938.957889</v>
      </c>
    </row>
    <row r="124" spans="1:72" x14ac:dyDescent="0.25">
      <c r="A124" s="202" t="s">
        <v>209</v>
      </c>
      <c r="B124" s="245">
        <f>190*180*B59</f>
        <v>34200</v>
      </c>
      <c r="C124" s="245"/>
      <c r="D124" s="245"/>
      <c r="E124" s="245"/>
      <c r="F124" s="245"/>
      <c r="G124" s="245"/>
      <c r="H124" s="262">
        <f>SUM(B124:G124)</f>
        <v>34200</v>
      </c>
      <c r="J124" s="245">
        <f>190*180*J59</f>
        <v>102600</v>
      </c>
      <c r="K124" s="245"/>
      <c r="L124" s="245"/>
      <c r="M124" s="245"/>
      <c r="N124" s="245"/>
      <c r="O124" s="245"/>
      <c r="P124" s="262">
        <f>SUM(J124:O124)</f>
        <v>102600</v>
      </c>
      <c r="R124" s="245">
        <f>190*180*R59</f>
        <v>34200</v>
      </c>
      <c r="S124" s="245"/>
      <c r="T124" s="245"/>
      <c r="U124" s="245"/>
      <c r="V124" s="245"/>
      <c r="W124" s="245"/>
      <c r="X124" s="262">
        <f>SUM(R124:W124)</f>
        <v>34200</v>
      </c>
      <c r="Z124" s="245">
        <f>190*180*Z59</f>
        <v>68400</v>
      </c>
      <c r="AA124" s="245"/>
      <c r="AB124" s="245"/>
      <c r="AC124" s="245"/>
      <c r="AD124" s="245"/>
      <c r="AE124" s="245"/>
      <c r="AF124" s="262">
        <f>SUM(Z124:AE124)</f>
        <v>68400</v>
      </c>
      <c r="AH124" s="245">
        <f>190*180*AH59</f>
        <v>136800</v>
      </c>
      <c r="AI124" s="245"/>
      <c r="AJ124" s="245"/>
      <c r="AK124" s="245"/>
      <c r="AL124" s="245"/>
      <c r="AM124" s="245"/>
      <c r="AN124" s="262">
        <f>SUM(AH124:AM124)</f>
        <v>136800</v>
      </c>
      <c r="AP124" s="245">
        <f>175*180*AP59</f>
        <v>0</v>
      </c>
      <c r="AQ124" s="245"/>
      <c r="AR124" s="245"/>
      <c r="AS124" s="245"/>
      <c r="AT124" s="245"/>
      <c r="AU124" s="245"/>
      <c r="AV124" s="262">
        <f>SUM(AP124:AU124)</f>
        <v>0</v>
      </c>
      <c r="AX124" s="245">
        <f>175*180*AX59</f>
        <v>0</v>
      </c>
      <c r="AY124" s="245"/>
      <c r="AZ124" s="245"/>
      <c r="BA124" s="245"/>
      <c r="BB124" s="245"/>
      <c r="BC124" s="245"/>
      <c r="BD124" s="262">
        <f>SUM(AX124:BC124)</f>
        <v>0</v>
      </c>
      <c r="BF124" s="245"/>
      <c r="BG124" s="245"/>
      <c r="BH124" s="245"/>
      <c r="BI124" s="245"/>
      <c r="BJ124" s="245"/>
      <c r="BK124" s="245"/>
      <c r="BL124" s="262">
        <f>SUM(BF124:BK124)</f>
        <v>0</v>
      </c>
      <c r="BN124" s="241">
        <f t="shared" si="205"/>
        <v>376200</v>
      </c>
      <c r="BO124" s="241">
        <f t="shared" si="203"/>
        <v>0</v>
      </c>
      <c r="BP124" s="241">
        <f t="shared" si="203"/>
        <v>0</v>
      </c>
      <c r="BQ124" s="241">
        <f t="shared" si="203"/>
        <v>0</v>
      </c>
      <c r="BR124" s="241">
        <f t="shared" si="203"/>
        <v>0</v>
      </c>
      <c r="BS124" s="241">
        <f t="shared" si="203"/>
        <v>0</v>
      </c>
      <c r="BT124" s="262">
        <f>SUM(BN124:BS124)</f>
        <v>376200</v>
      </c>
    </row>
    <row r="125" spans="1:72" x14ac:dyDescent="0.25">
      <c r="A125" s="207" t="s">
        <v>332</v>
      </c>
      <c r="B125" s="258">
        <f t="shared" ref="B125:H125" si="207">SUM(B119:B124)</f>
        <v>2905825.0094150002</v>
      </c>
      <c r="C125" s="258">
        <f t="shared" si="207"/>
        <v>440280</v>
      </c>
      <c r="D125" s="258">
        <f t="shared" si="207"/>
        <v>0</v>
      </c>
      <c r="E125" s="258">
        <f t="shared" si="207"/>
        <v>0</v>
      </c>
      <c r="F125" s="258">
        <f t="shared" si="207"/>
        <v>65650</v>
      </c>
      <c r="G125" s="258">
        <f t="shared" si="207"/>
        <v>0</v>
      </c>
      <c r="H125" s="258">
        <f t="shared" si="207"/>
        <v>3411755.0094149997</v>
      </c>
      <c r="J125" s="258">
        <f t="shared" ref="J125:P125" si="208">SUM(J119:J124)</f>
        <v>7403192.0956149995</v>
      </c>
      <c r="K125" s="258">
        <f t="shared" si="208"/>
        <v>1222370</v>
      </c>
      <c r="L125" s="258">
        <f t="shared" si="208"/>
        <v>0</v>
      </c>
      <c r="M125" s="258">
        <f t="shared" si="208"/>
        <v>0</v>
      </c>
      <c r="N125" s="258">
        <f t="shared" si="208"/>
        <v>0</v>
      </c>
      <c r="O125" s="258">
        <f t="shared" si="208"/>
        <v>0</v>
      </c>
      <c r="P125" s="258">
        <f t="shared" si="208"/>
        <v>8625562.0956149995</v>
      </c>
      <c r="R125" s="258">
        <f t="shared" ref="R125:X125" si="209">SUM(R119:R124)</f>
        <v>3160841.3275000001</v>
      </c>
      <c r="S125" s="258">
        <f t="shared" si="209"/>
        <v>377850</v>
      </c>
      <c r="T125" s="258">
        <f t="shared" si="209"/>
        <v>0</v>
      </c>
      <c r="U125" s="258">
        <f t="shared" si="209"/>
        <v>0</v>
      </c>
      <c r="V125" s="258">
        <f t="shared" si="209"/>
        <v>0</v>
      </c>
      <c r="W125" s="258">
        <f t="shared" si="209"/>
        <v>0</v>
      </c>
      <c r="X125" s="258">
        <f t="shared" si="209"/>
        <v>3538691.3275000001</v>
      </c>
      <c r="Z125" s="258">
        <f t="shared" ref="Z125:AF125" si="210">SUM(Z119:Z124)</f>
        <v>4031185.677966</v>
      </c>
      <c r="AA125" s="258">
        <f t="shared" si="210"/>
        <v>464150</v>
      </c>
      <c r="AB125" s="258">
        <f t="shared" si="210"/>
        <v>0</v>
      </c>
      <c r="AC125" s="258">
        <f t="shared" si="210"/>
        <v>0</v>
      </c>
      <c r="AD125" s="258">
        <f t="shared" si="210"/>
        <v>0</v>
      </c>
      <c r="AE125" s="258">
        <f t="shared" si="210"/>
        <v>0</v>
      </c>
      <c r="AF125" s="258">
        <f t="shared" si="210"/>
        <v>4495335.6779660005</v>
      </c>
      <c r="AH125" s="258">
        <f t="shared" ref="AH125:AN125" si="211">SUM(AH119:AH124)</f>
        <v>7044539.0965</v>
      </c>
      <c r="AI125" s="258">
        <f t="shared" si="211"/>
        <v>1223440</v>
      </c>
      <c r="AJ125" s="258">
        <f t="shared" si="211"/>
        <v>0</v>
      </c>
      <c r="AK125" s="258">
        <f t="shared" si="211"/>
        <v>0</v>
      </c>
      <c r="AL125" s="258">
        <f t="shared" si="211"/>
        <v>0</v>
      </c>
      <c r="AM125" s="258">
        <f t="shared" si="211"/>
        <v>0</v>
      </c>
      <c r="AN125" s="258">
        <f t="shared" si="211"/>
        <v>8267979.0965</v>
      </c>
      <c r="AP125" s="258">
        <f t="shared" ref="AP125:AV125" si="212">SUM(AP119:AP124)</f>
        <v>2488907.7255000002</v>
      </c>
      <c r="AQ125" s="258">
        <f t="shared" si="212"/>
        <v>385520</v>
      </c>
      <c r="AR125" s="258">
        <f t="shared" si="212"/>
        <v>0</v>
      </c>
      <c r="AS125" s="258">
        <f t="shared" si="212"/>
        <v>0</v>
      </c>
      <c r="AT125" s="258">
        <f t="shared" si="212"/>
        <v>144319.91</v>
      </c>
      <c r="AU125" s="258">
        <f t="shared" si="212"/>
        <v>0</v>
      </c>
      <c r="AV125" s="258">
        <f t="shared" si="212"/>
        <v>3018747.6355000003</v>
      </c>
      <c r="AX125" s="258">
        <f t="shared" ref="AX125:BD125" si="213">SUM(AX119:AX124)</f>
        <v>186647.42797600001</v>
      </c>
      <c r="AY125" s="258">
        <f t="shared" si="213"/>
        <v>115377.48300000001</v>
      </c>
      <c r="AZ125" s="258">
        <f t="shared" si="213"/>
        <v>0</v>
      </c>
      <c r="BA125" s="258">
        <f t="shared" si="213"/>
        <v>0</v>
      </c>
      <c r="BB125" s="258">
        <f t="shared" si="213"/>
        <v>21831.047889000001</v>
      </c>
      <c r="BC125" s="258">
        <f t="shared" si="213"/>
        <v>0</v>
      </c>
      <c r="BD125" s="258">
        <f t="shared" si="213"/>
        <v>323855.95886500005</v>
      </c>
      <c r="BF125" s="258">
        <f t="shared" ref="BF125:BL125" si="214">SUM(BF119:BF124)</f>
        <v>84484.682000000001</v>
      </c>
      <c r="BG125" s="258">
        <f t="shared" si="214"/>
        <v>0</v>
      </c>
      <c r="BH125" s="258">
        <f t="shared" si="214"/>
        <v>0</v>
      </c>
      <c r="BI125" s="258">
        <f t="shared" si="214"/>
        <v>0</v>
      </c>
      <c r="BJ125" s="258">
        <f t="shared" si="214"/>
        <v>100454.3475</v>
      </c>
      <c r="BK125" s="258">
        <f t="shared" si="214"/>
        <v>0</v>
      </c>
      <c r="BL125" s="258">
        <f t="shared" si="214"/>
        <v>184939.0295</v>
      </c>
      <c r="BN125" s="258">
        <f t="shared" ref="BN125:BT125" si="215">SUM(BN119:BN124)</f>
        <v>27305623.042472001</v>
      </c>
      <c r="BO125" s="258">
        <f t="shared" si="215"/>
        <v>4228987.483</v>
      </c>
      <c r="BP125" s="258">
        <f t="shared" si="215"/>
        <v>0</v>
      </c>
      <c r="BQ125" s="258">
        <f t="shared" si="215"/>
        <v>0</v>
      </c>
      <c r="BR125" s="258">
        <f t="shared" si="215"/>
        <v>332255.30538899999</v>
      </c>
      <c r="BS125" s="258">
        <f t="shared" si="215"/>
        <v>0</v>
      </c>
      <c r="BT125" s="258">
        <f t="shared" si="215"/>
        <v>31866865.830861002</v>
      </c>
    </row>
    <row r="126" spans="1:72" x14ac:dyDescent="0.25">
      <c r="A126" s="200" t="s">
        <v>371</v>
      </c>
      <c r="B126" s="257">
        <f>B125*0.3825</f>
        <v>1111478.0661012377</v>
      </c>
      <c r="C126" s="257">
        <f t="shared" ref="C126:G126" si="216">C125*0.3825</f>
        <v>168407.1</v>
      </c>
      <c r="D126" s="257">
        <f t="shared" si="216"/>
        <v>0</v>
      </c>
      <c r="E126" s="257">
        <f t="shared" si="216"/>
        <v>0</v>
      </c>
      <c r="F126" s="257">
        <f t="shared" si="216"/>
        <v>25111.125</v>
      </c>
      <c r="G126" s="257">
        <f t="shared" si="216"/>
        <v>0</v>
      </c>
      <c r="H126" s="241">
        <f t="shared" si="195"/>
        <v>1304996.2911012378</v>
      </c>
      <c r="J126" s="257">
        <f>J125*0.3825</f>
        <v>2831720.9765727376</v>
      </c>
      <c r="K126" s="257">
        <f t="shared" ref="K126:O126" si="217">K125*0.3825</f>
        <v>467556.52500000002</v>
      </c>
      <c r="L126" s="257">
        <f t="shared" si="217"/>
        <v>0</v>
      </c>
      <c r="M126" s="257">
        <f t="shared" si="217"/>
        <v>0</v>
      </c>
      <c r="N126" s="257">
        <f t="shared" si="217"/>
        <v>0</v>
      </c>
      <c r="O126" s="257">
        <f t="shared" si="217"/>
        <v>0</v>
      </c>
      <c r="P126" s="241">
        <f t="shared" si="196"/>
        <v>3299277.5015727375</v>
      </c>
      <c r="R126" s="257">
        <f>R125*0.3825</f>
        <v>1209021.80776875</v>
      </c>
      <c r="S126" s="257">
        <f t="shared" ref="S126:W126" si="218">S125*0.3825</f>
        <v>144527.625</v>
      </c>
      <c r="T126" s="257">
        <f t="shared" si="218"/>
        <v>0</v>
      </c>
      <c r="U126" s="257">
        <f t="shared" si="218"/>
        <v>0</v>
      </c>
      <c r="V126" s="257">
        <f t="shared" si="218"/>
        <v>0</v>
      </c>
      <c r="W126" s="257">
        <f t="shared" si="218"/>
        <v>0</v>
      </c>
      <c r="X126" s="241">
        <f t="shared" si="197"/>
        <v>1353549.43276875</v>
      </c>
      <c r="Z126" s="257">
        <f>Z125*0.3825</f>
        <v>1541928.521821995</v>
      </c>
      <c r="AA126" s="257">
        <f t="shared" ref="AA126:AE126" si="219">AA125*0.3825</f>
        <v>177537.375</v>
      </c>
      <c r="AB126" s="257">
        <f t="shared" si="219"/>
        <v>0</v>
      </c>
      <c r="AC126" s="257">
        <f t="shared" si="219"/>
        <v>0</v>
      </c>
      <c r="AD126" s="257">
        <f t="shared" si="219"/>
        <v>0</v>
      </c>
      <c r="AE126" s="257">
        <f t="shared" si="219"/>
        <v>0</v>
      </c>
      <c r="AF126" s="241">
        <f t="shared" si="198"/>
        <v>1719465.896821995</v>
      </c>
      <c r="AH126" s="257">
        <f>AH125*0.3825</f>
        <v>2694536.2044112501</v>
      </c>
      <c r="AI126" s="257">
        <f t="shared" ref="AI126:AM126" si="220">AI125*0.3825</f>
        <v>467965.8</v>
      </c>
      <c r="AJ126" s="257">
        <f t="shared" si="220"/>
        <v>0</v>
      </c>
      <c r="AK126" s="257">
        <f t="shared" si="220"/>
        <v>0</v>
      </c>
      <c r="AL126" s="257">
        <f t="shared" si="220"/>
        <v>0</v>
      </c>
      <c r="AM126" s="257">
        <f t="shared" si="220"/>
        <v>0</v>
      </c>
      <c r="AN126" s="241">
        <f t="shared" si="199"/>
        <v>3162502.0044112499</v>
      </c>
      <c r="AP126" s="257">
        <f>AP125*0.3825</f>
        <v>952007.20500375004</v>
      </c>
      <c r="AQ126" s="257">
        <f t="shared" ref="AQ126:AU126" si="221">AQ125*0.3825</f>
        <v>147461.4</v>
      </c>
      <c r="AR126" s="257">
        <f t="shared" si="221"/>
        <v>0</v>
      </c>
      <c r="AS126" s="257">
        <f t="shared" si="221"/>
        <v>0</v>
      </c>
      <c r="AT126" s="257">
        <f t="shared" si="221"/>
        <v>55202.365575000003</v>
      </c>
      <c r="AU126" s="257">
        <f t="shared" si="221"/>
        <v>0</v>
      </c>
      <c r="AV126" s="241">
        <f t="shared" si="200"/>
        <v>1154670.9705787499</v>
      </c>
      <c r="AX126" s="257">
        <f>AX125*0.3825</f>
        <v>71392.641200819999</v>
      </c>
      <c r="AY126" s="257">
        <f t="shared" ref="AY126:BC126" si="222">AY125*0.3825</f>
        <v>44131.887247500003</v>
      </c>
      <c r="AZ126" s="257">
        <f t="shared" si="222"/>
        <v>0</v>
      </c>
      <c r="BA126" s="257">
        <f t="shared" si="222"/>
        <v>0</v>
      </c>
      <c r="BB126" s="257">
        <f t="shared" si="222"/>
        <v>8350.375817542501</v>
      </c>
      <c r="BC126" s="257">
        <f t="shared" si="222"/>
        <v>0</v>
      </c>
      <c r="BD126" s="241">
        <f t="shared" si="201"/>
        <v>123874.9042658625</v>
      </c>
      <c r="BF126" s="257">
        <f>BF125*0.3825</f>
        <v>32315.390865000001</v>
      </c>
      <c r="BG126" s="257">
        <f t="shared" ref="BG126:BK126" si="223">BG125*0.3675</f>
        <v>0</v>
      </c>
      <c r="BH126" s="257">
        <f t="shared" si="223"/>
        <v>0</v>
      </c>
      <c r="BI126" s="257">
        <f t="shared" si="223"/>
        <v>0</v>
      </c>
      <c r="BJ126" s="257">
        <f t="shared" si="223"/>
        <v>36916.972706250002</v>
      </c>
      <c r="BK126" s="257">
        <f t="shared" si="223"/>
        <v>0</v>
      </c>
      <c r="BL126" s="241">
        <f t="shared" si="202"/>
        <v>69232.363571249996</v>
      </c>
      <c r="BN126" s="241">
        <f>B126+J126+R126+Z126+AH126+AP126+AX126+BF126</f>
        <v>10444400.81374554</v>
      </c>
      <c r="BO126" s="241">
        <f t="shared" ref="BO126:BS131" si="224">C126+K126+S126+AA126+AI126+AQ126+AY126+BG126</f>
        <v>1617587.7122475</v>
      </c>
      <c r="BP126" s="241">
        <f t="shared" si="224"/>
        <v>0</v>
      </c>
      <c r="BQ126" s="241">
        <f t="shared" si="224"/>
        <v>0</v>
      </c>
      <c r="BR126" s="241">
        <f t="shared" si="224"/>
        <v>125580.83909879251</v>
      </c>
      <c r="BS126" s="241">
        <f t="shared" si="224"/>
        <v>0</v>
      </c>
      <c r="BT126" s="241">
        <f t="shared" ref="BT126:BT127" si="225">SUM(BN126:BS126)</f>
        <v>12187569.365091832</v>
      </c>
    </row>
    <row r="127" spans="1:72" x14ac:dyDescent="0.25">
      <c r="A127" s="201" t="s">
        <v>244</v>
      </c>
      <c r="B127" s="242">
        <f>(((9985*(B63*0.825))+((220*(B63*0.85))+((85*(B63*0.825))+(B63*65)+(B125*0.015)+(B125*0.03)))))</f>
        <v>533070.37542367494</v>
      </c>
      <c r="C127" s="242">
        <f t="shared" ref="C127:G127" si="226">(((9985*(C63*0.825))+((220*(C63*0.85))+((85*(C63*0.825))+(C63*65)+(C125*0.015)+(C125*0.03)))))</f>
        <v>96850.35</v>
      </c>
      <c r="D127" s="242">
        <f t="shared" si="226"/>
        <v>0</v>
      </c>
      <c r="E127" s="242">
        <f t="shared" si="226"/>
        <v>0</v>
      </c>
      <c r="F127" s="242">
        <f t="shared" si="226"/>
        <v>11514</v>
      </c>
      <c r="G127" s="242">
        <f t="shared" si="226"/>
        <v>0</v>
      </c>
      <c r="H127" s="241">
        <f t="shared" si="195"/>
        <v>641434.72542367491</v>
      </c>
      <c r="J127" s="242">
        <f>(((9985*(J63*0.85))+((220*(J63*0.85))+((85*(J63*0.825))+(J63*65)+(J125*0.015)+(J125*0.03)))))</f>
        <v>1346221.769302675</v>
      </c>
      <c r="K127" s="242">
        <f t="shared" ref="K127:O127" si="227">(((9985*(K63*0.85))+((220*(K63*0.85))+((85*(K63*0.825))+(K63*65)+(K125*0.015)+(K125*0.03)))))</f>
        <v>275241.02500000002</v>
      </c>
      <c r="L127" s="242">
        <f t="shared" si="227"/>
        <v>0</v>
      </c>
      <c r="M127" s="242">
        <f t="shared" si="227"/>
        <v>0</v>
      </c>
      <c r="N127" s="242">
        <f t="shared" si="227"/>
        <v>0</v>
      </c>
      <c r="O127" s="242">
        <f t="shared" si="227"/>
        <v>0</v>
      </c>
      <c r="P127" s="241">
        <f t="shared" si="196"/>
        <v>1621462.7943026749</v>
      </c>
      <c r="R127" s="242">
        <f>(((9985*(R63*0.835))+((220*(R63*0.85))+((85*(R63*0.825))+(R63*65)+(R125*0.015)+(R125*0.03)))))</f>
        <v>583877.45973750006</v>
      </c>
      <c r="S127" s="242">
        <f t="shared" ref="S127:W127" si="228">(((9985*(S63*0.835))+((220*(S63*0.85))+((85*(S63*0.825))+(S63*65)+(S125*0.015)+(S125*0.03)))))</f>
        <v>86280.05</v>
      </c>
      <c r="T127" s="242">
        <f t="shared" si="228"/>
        <v>0</v>
      </c>
      <c r="U127" s="242">
        <f t="shared" si="228"/>
        <v>0</v>
      </c>
      <c r="V127" s="242">
        <f t="shared" si="228"/>
        <v>0</v>
      </c>
      <c r="W127" s="242">
        <f t="shared" si="228"/>
        <v>0</v>
      </c>
      <c r="X127" s="241">
        <f t="shared" si="197"/>
        <v>670157.50973750011</v>
      </c>
      <c r="Z127" s="242">
        <f>(((9985*(Z63*0.85))+((220*(Z63*0.85))+((85*(Z63*0.825))+(Z63*65)+(Z125*0.015)+(Z125*0.03)))))</f>
        <v>745203.35550846998</v>
      </c>
      <c r="AA127" s="242">
        <f t="shared" ref="AA127:AE127" si="229">(((9985*(AA63*0.85))+((220*(AA63*0.85))+((85*(AA63*0.825))+(AA63*65)+(AA125*0.015)+(AA125*0.03)))))</f>
        <v>108980.5</v>
      </c>
      <c r="AB127" s="242">
        <f t="shared" si="229"/>
        <v>0</v>
      </c>
      <c r="AC127" s="242">
        <f t="shared" si="229"/>
        <v>0</v>
      </c>
      <c r="AD127" s="242">
        <f t="shared" si="229"/>
        <v>0</v>
      </c>
      <c r="AE127" s="242">
        <f t="shared" si="229"/>
        <v>0</v>
      </c>
      <c r="AF127" s="241">
        <f t="shared" si="198"/>
        <v>854183.85550846998</v>
      </c>
      <c r="AH127" s="242">
        <f>(((9985*(AH63*0.85))+((220*(AH63*0.85))+((85*(AH63*0.825))+(AH63*65)+(AH125*0.015)+(AH125*0.03)))))</f>
        <v>1268416.7593425</v>
      </c>
      <c r="AI127" s="242">
        <f t="shared" ref="AI127:AM127" si="230">(((9985*(AI63*0.85))+((220*(AI63*0.85))+((85*(AI63*0.825))+(AI63*65)+(AI125*0.015)+(AI125*0.03)))))</f>
        <v>275289.17499999999</v>
      </c>
      <c r="AJ127" s="242">
        <f t="shared" si="230"/>
        <v>0</v>
      </c>
      <c r="AK127" s="242">
        <f t="shared" si="230"/>
        <v>0</v>
      </c>
      <c r="AL127" s="242">
        <f t="shared" si="230"/>
        <v>0</v>
      </c>
      <c r="AM127" s="242">
        <f t="shared" si="230"/>
        <v>0</v>
      </c>
      <c r="AN127" s="241">
        <f t="shared" si="199"/>
        <v>1543705.9343425001</v>
      </c>
      <c r="AP127" s="242">
        <f>(((9985*(AP63*0.8))+((220*(AP63*0.85))+((85*(AP63*0.825))+(AP63*65)+(AP125*0.015)+(AP125*0.03)))))</f>
        <v>452715.97264750005</v>
      </c>
      <c r="AQ127" s="242">
        <f t="shared" ref="AQ127:AU127" si="231">(((9985*(AQ63*0.8))+((220*(AQ63*0.85))+((85*(AQ63*0.825))+(AQ63*65)+(AQ125*0.015)+(AQ125*0.03)))))</f>
        <v>83829.399999999994</v>
      </c>
      <c r="AR127" s="242">
        <f t="shared" si="231"/>
        <v>0</v>
      </c>
      <c r="AS127" s="242">
        <f t="shared" si="231"/>
        <v>0</v>
      </c>
      <c r="AT127" s="242">
        <f t="shared" si="231"/>
        <v>39734.895949999998</v>
      </c>
      <c r="AU127" s="242">
        <f t="shared" si="231"/>
        <v>0</v>
      </c>
      <c r="AV127" s="241">
        <f t="shared" si="200"/>
        <v>576280.26859750005</v>
      </c>
      <c r="AX127" s="244">
        <f>(((9985*(AX63*0.85))+((220*(AX63*0.85))+((85*(AX63*0.825))+(AX63*65)+(AX125*0.015)+(AX125*0.03)))))</f>
        <v>43636.634258919999</v>
      </c>
      <c r="AY127" s="244">
        <f t="shared" ref="AY127:BC127" si="232">(((9985*(AY63*0.85))+((220*(AY63*0.85))+((85*(AY63*0.825))+(AY63*65)+(AY125*0.015)+(AY125*0.03)))))</f>
        <v>22810.736734999999</v>
      </c>
      <c r="AZ127" s="244">
        <f t="shared" si="232"/>
        <v>0</v>
      </c>
      <c r="BA127" s="244">
        <f t="shared" si="232"/>
        <v>0</v>
      </c>
      <c r="BB127" s="244">
        <f t="shared" si="232"/>
        <v>9791.772155005001</v>
      </c>
      <c r="BC127" s="244">
        <f t="shared" si="232"/>
        <v>0</v>
      </c>
      <c r="BD127" s="241">
        <f t="shared" si="201"/>
        <v>76239.143148924995</v>
      </c>
      <c r="BF127" s="244">
        <f>BF125*0.19</f>
        <v>16052.08958</v>
      </c>
      <c r="BG127" s="244">
        <f t="shared" ref="BG127:BK127" si="233">BG125*0.175</f>
        <v>0</v>
      </c>
      <c r="BH127" s="244">
        <f t="shared" si="233"/>
        <v>0</v>
      </c>
      <c r="BI127" s="244">
        <f t="shared" si="233"/>
        <v>0</v>
      </c>
      <c r="BJ127" s="244">
        <f t="shared" si="233"/>
        <v>17579.510812500001</v>
      </c>
      <c r="BK127" s="244">
        <f t="shared" si="233"/>
        <v>0</v>
      </c>
      <c r="BL127" s="241">
        <f t="shared" si="202"/>
        <v>33631.600392499997</v>
      </c>
      <c r="BN127" s="241">
        <f t="shared" ref="BN127:BN131" si="234">B127+J127+R127+Z127+AH127+AP127+AX127+BF127</f>
        <v>4989194.4158012411</v>
      </c>
      <c r="BO127" s="241">
        <f t="shared" si="224"/>
        <v>949281.23673500016</v>
      </c>
      <c r="BP127" s="241">
        <f t="shared" si="224"/>
        <v>0</v>
      </c>
      <c r="BQ127" s="241">
        <f t="shared" si="224"/>
        <v>0</v>
      </c>
      <c r="BR127" s="241">
        <f t="shared" si="224"/>
        <v>78620.178917504993</v>
      </c>
      <c r="BS127" s="241">
        <f t="shared" si="224"/>
        <v>0</v>
      </c>
      <c r="BT127" s="241">
        <f t="shared" si="225"/>
        <v>6017095.8314537462</v>
      </c>
    </row>
    <row r="128" spans="1:72" x14ac:dyDescent="0.25">
      <c r="A128" s="201" t="s">
        <v>245</v>
      </c>
      <c r="B128" s="242">
        <f>(1250*B36)+((1500*(B41+B43))+(500*B50)+((1500*(B54+B55+B56))+(1250*B59)))</f>
        <v>57250</v>
      </c>
      <c r="C128" s="242">
        <f t="shared" ref="C128:G128" si="235">(1250*C36)+((1500*(C41+C43))+(500*C50)+((1500*(C54+C55+C56))+(1250*C59)))</f>
        <v>9750</v>
      </c>
      <c r="D128" s="242">
        <f t="shared" si="235"/>
        <v>0</v>
      </c>
      <c r="E128" s="242">
        <f t="shared" si="235"/>
        <v>0</v>
      </c>
      <c r="F128" s="242">
        <f t="shared" si="235"/>
        <v>1500</v>
      </c>
      <c r="G128" s="242">
        <f t="shared" si="235"/>
        <v>0</v>
      </c>
      <c r="H128" s="241">
        <f t="shared" si="195"/>
        <v>68500</v>
      </c>
      <c r="J128" s="242">
        <f>(1250*J36)+((1500*(J41+J43))+(500*J50)+((1500*(J54+J55+J56))+(1250*J59)))</f>
        <v>141000</v>
      </c>
      <c r="K128" s="242">
        <f>(1250*K36)+((1500*(K41+K43))+(500*K50)+((1500*(K54+K55+K56))+(1250*K59)))+(3*1000)</f>
        <v>29750</v>
      </c>
      <c r="L128" s="242">
        <f t="shared" ref="L128:O128" si="236">(1250*L36)+((1500*(L41+L43))+(500*L50)+((1500*(L54+L55+L56))+(1250*L59)))</f>
        <v>0</v>
      </c>
      <c r="M128" s="242">
        <f t="shared" si="236"/>
        <v>0</v>
      </c>
      <c r="N128" s="242">
        <f t="shared" si="236"/>
        <v>0</v>
      </c>
      <c r="O128" s="242">
        <f t="shared" si="236"/>
        <v>0</v>
      </c>
      <c r="P128" s="241">
        <f t="shared" si="196"/>
        <v>170750</v>
      </c>
      <c r="R128" s="242">
        <f>(1250*R36)+((1500*(R41+R43))+(500*R50)+((1500*(R54+R55+R56))+(1250*R59)))</f>
        <v>60750</v>
      </c>
      <c r="S128" s="242">
        <f t="shared" ref="S128:W128" si="237">(1250*S36)+((1500*(S41+S43))+(500*S50)+((1500*(S54+S55+S56))+(1250*S59)))</f>
        <v>9250</v>
      </c>
      <c r="T128" s="242">
        <f t="shared" si="237"/>
        <v>0</v>
      </c>
      <c r="U128" s="242">
        <f t="shared" si="237"/>
        <v>0</v>
      </c>
      <c r="V128" s="242">
        <f t="shared" si="237"/>
        <v>0</v>
      </c>
      <c r="W128" s="242">
        <f t="shared" si="237"/>
        <v>0</v>
      </c>
      <c r="X128" s="241">
        <f t="shared" si="197"/>
        <v>70000</v>
      </c>
      <c r="Z128" s="242">
        <f>(1250*Z36)+((1500*(Z41+Z43))+(500*Z50)+((1500*(Z54+Z55+Z56))+(1250*Z59)))</f>
        <v>79500</v>
      </c>
      <c r="AA128" s="242">
        <f t="shared" ref="AA128:AE128" si="238">(1250*AA36)+((1500*(AA41+AA43))+(500*AA50)+((1500*(AA54+AA55+AA56))+(1250*AA59)))</f>
        <v>12500</v>
      </c>
      <c r="AB128" s="242">
        <f t="shared" si="238"/>
        <v>0</v>
      </c>
      <c r="AC128" s="242">
        <f t="shared" si="238"/>
        <v>0</v>
      </c>
      <c r="AD128" s="242">
        <f t="shared" si="238"/>
        <v>0</v>
      </c>
      <c r="AE128" s="242">
        <f t="shared" si="238"/>
        <v>0</v>
      </c>
      <c r="AF128" s="241">
        <f t="shared" si="198"/>
        <v>92000</v>
      </c>
      <c r="AH128" s="242">
        <f>(1250*AH36)+((1500*(AH41+AH43))+(500*AH50)+((1500*(AH54+AH55+AH56))+(1250*AH59)))</f>
        <v>136750</v>
      </c>
      <c r="AI128" s="242">
        <f t="shared" ref="AI128:AM128" si="239">(1250*AI36)+((1500*(AI41+AI43))+(500*AI50)+((1500*(AI54+AI55+AI56))+(1250*AI59)))</f>
        <v>23750</v>
      </c>
      <c r="AJ128" s="242">
        <f t="shared" si="239"/>
        <v>0</v>
      </c>
      <c r="AK128" s="242">
        <f t="shared" si="239"/>
        <v>0</v>
      </c>
      <c r="AL128" s="242">
        <f t="shared" si="239"/>
        <v>0</v>
      </c>
      <c r="AM128" s="242">
        <f t="shared" si="239"/>
        <v>0</v>
      </c>
      <c r="AN128" s="241">
        <f t="shared" si="199"/>
        <v>160500</v>
      </c>
      <c r="AP128" s="242">
        <f>(1250*AP36)+((1500*(AP41+AP43))+(500*AP50)+((1500*(AP54+AP55+AP56))+(1250*AP59)))</f>
        <v>51000</v>
      </c>
      <c r="AQ128" s="242">
        <f t="shared" ref="AQ128:AU128" si="240">(1250*AQ36)+((1500*(AQ41+AQ43))+(500*AQ50)+((1500*(AQ54+AQ55+AQ56))+(1250*AQ59)))</f>
        <v>8500</v>
      </c>
      <c r="AR128" s="242">
        <f t="shared" si="240"/>
        <v>0</v>
      </c>
      <c r="AS128" s="242">
        <f t="shared" si="240"/>
        <v>0</v>
      </c>
      <c r="AT128" s="242">
        <f t="shared" si="240"/>
        <v>2000</v>
      </c>
      <c r="AU128" s="242">
        <f t="shared" si="240"/>
        <v>0</v>
      </c>
      <c r="AV128" s="241">
        <f t="shared" si="200"/>
        <v>61500</v>
      </c>
      <c r="AX128" s="242">
        <f>(1250*AX36)+((1500*(AX41+AX43))+(500*AX50)+((1500*(AX54+AX55+AX56))+(1250*AX59)))</f>
        <v>3000</v>
      </c>
      <c r="AY128" s="242">
        <f t="shared" ref="AY128:BC128" si="241">(1250*AY36)+((1500*(AY41+AY43))+(500*AY50)+((1500*(AY54+AY55+AY56))+(1250*AY59)))</f>
        <v>1750</v>
      </c>
      <c r="AZ128" s="242">
        <f t="shared" si="241"/>
        <v>0</v>
      </c>
      <c r="BA128" s="242">
        <f t="shared" si="241"/>
        <v>0</v>
      </c>
      <c r="BB128" s="242">
        <f t="shared" si="241"/>
        <v>500</v>
      </c>
      <c r="BC128" s="242">
        <f t="shared" si="241"/>
        <v>0</v>
      </c>
      <c r="BD128" s="241">
        <f t="shared" si="201"/>
        <v>5250</v>
      </c>
      <c r="BF128" s="242">
        <f>(1250*BF36)+((1500*(BF41+BF43))+(500*BF50)+((1500*(BF54+BF55+BF56))+(1250*BF59)))</f>
        <v>1250</v>
      </c>
      <c r="BG128" s="242">
        <f t="shared" ref="BG128:BK128" si="242">(1250*BG36)+((1500*(BG41+BG43))+(500*BG50)+((1500*(BG54+BG55+BG56))+(1250*BG59)))</f>
        <v>0</v>
      </c>
      <c r="BH128" s="242">
        <f t="shared" si="242"/>
        <v>0</v>
      </c>
      <c r="BI128" s="242">
        <f t="shared" si="242"/>
        <v>0</v>
      </c>
      <c r="BJ128" s="242">
        <f t="shared" si="242"/>
        <v>1500</v>
      </c>
      <c r="BK128" s="242">
        <f t="shared" si="242"/>
        <v>0</v>
      </c>
      <c r="BL128" s="241">
        <f t="shared" ref="BL128:BL129" si="243">SUM(BF128:BK128)</f>
        <v>2750</v>
      </c>
      <c r="BN128" s="241">
        <f t="shared" si="234"/>
        <v>530500</v>
      </c>
      <c r="BO128" s="241">
        <f t="shared" si="224"/>
        <v>95250</v>
      </c>
      <c r="BP128" s="241">
        <f t="shared" si="224"/>
        <v>0</v>
      </c>
      <c r="BQ128" s="241">
        <f t="shared" si="224"/>
        <v>0</v>
      </c>
      <c r="BR128" s="241">
        <f t="shared" si="224"/>
        <v>5500</v>
      </c>
      <c r="BS128" s="241">
        <f t="shared" si="224"/>
        <v>0</v>
      </c>
      <c r="BT128" s="241">
        <f t="shared" ref="BT128:BT129" si="244">SUM(BN128:BS128)</f>
        <v>631250</v>
      </c>
    </row>
    <row r="129" spans="1:72" x14ac:dyDescent="0.25">
      <c r="A129" s="201" t="s">
        <v>246</v>
      </c>
      <c r="B129" s="242">
        <f>(175*B36)+((175*(B41+B43))+(75*B50)+((175*(B54+B55+B56))+(1250*B59)))*1.09</f>
        <v>9230.25</v>
      </c>
      <c r="C129" s="242">
        <f t="shared" ref="C129:G129" si="245">(175*C36)+((175*(C41+C43))+(75*C50)+((175*(C54+C55+C56))+(1250*C59)))*1.09</f>
        <v>1392.75</v>
      </c>
      <c r="D129" s="242">
        <f t="shared" si="245"/>
        <v>0</v>
      </c>
      <c r="E129" s="242">
        <f t="shared" si="245"/>
        <v>0</v>
      </c>
      <c r="F129" s="242">
        <f t="shared" si="245"/>
        <v>190.75</v>
      </c>
      <c r="G129" s="242">
        <f t="shared" si="245"/>
        <v>0</v>
      </c>
      <c r="H129" s="241">
        <f t="shared" si="195"/>
        <v>10813.75</v>
      </c>
      <c r="J129" s="242">
        <f>(175*J36)+((175*(J41+J43))+(75*J50)+((175*(J54+J55+J56))+(1250*J59)))*1.09</f>
        <v>23343</v>
      </c>
      <c r="K129" s="242">
        <f t="shared" ref="K129:O129" si="246">(175*K36)+((175*(K41+K43))+(75*K50)+((175*(K54+K55+K56))+(1250*K59)))*1.09</f>
        <v>3828.25</v>
      </c>
      <c r="L129" s="242">
        <f t="shared" si="246"/>
        <v>0</v>
      </c>
      <c r="M129" s="242">
        <f t="shared" si="246"/>
        <v>0</v>
      </c>
      <c r="N129" s="242">
        <f t="shared" si="246"/>
        <v>0</v>
      </c>
      <c r="O129" s="242">
        <f t="shared" si="246"/>
        <v>0</v>
      </c>
      <c r="P129" s="241">
        <f t="shared" si="196"/>
        <v>27171.25</v>
      </c>
      <c r="R129" s="242">
        <f>(175*R36)+((175*(R41+R43))+(75*R50)+((175*(R54+R55+R56))+(1250*R59)))*1.09</f>
        <v>9743.75</v>
      </c>
      <c r="S129" s="242">
        <f t="shared" ref="S129:W129" si="247">(175*S36)+((175*(S41+S43))+(75*S50)+((175*(S54+S55+S56))+(1250*S59)))*1.09</f>
        <v>1313.125</v>
      </c>
      <c r="T129" s="242">
        <f t="shared" si="247"/>
        <v>0</v>
      </c>
      <c r="U129" s="242">
        <f t="shared" si="247"/>
        <v>0</v>
      </c>
      <c r="V129" s="242">
        <f t="shared" si="247"/>
        <v>0</v>
      </c>
      <c r="W129" s="242">
        <f t="shared" si="247"/>
        <v>0</v>
      </c>
      <c r="X129" s="241">
        <f t="shared" si="197"/>
        <v>11056.875</v>
      </c>
      <c r="Z129" s="242">
        <f>(175*Z36)+((175*(Z41+Z43))+(75*Z50)+((175*(Z54+Z55+Z56))+(1250*Z59)))*1.09</f>
        <v>13506</v>
      </c>
      <c r="AA129" s="242">
        <f t="shared" ref="AA129:AE129" si="248">(175*AA36)+((175*(AA41+AA43))+(75*AA50)+((175*(AA54+AA55+AA56))+(1250*AA59)))*1.09</f>
        <v>1760.625</v>
      </c>
      <c r="AB129" s="242">
        <f t="shared" si="248"/>
        <v>0</v>
      </c>
      <c r="AC129" s="242">
        <f t="shared" si="248"/>
        <v>0</v>
      </c>
      <c r="AD129" s="242">
        <f t="shared" si="248"/>
        <v>0</v>
      </c>
      <c r="AE129" s="242">
        <f t="shared" si="248"/>
        <v>0</v>
      </c>
      <c r="AF129" s="241">
        <f t="shared" si="198"/>
        <v>15266.625</v>
      </c>
      <c r="AH129" s="242">
        <f>(175*AH36)+((175*(AH41+AH43))+(75*AH50)+((175*(AH54+AH55+AH56))+(1250*AH59)))*1.09</f>
        <v>23915.25</v>
      </c>
      <c r="AI129" s="242">
        <f t="shared" ref="AI129:AM129" si="249">(175*AI36)+((175*(AI41+AI43))+(75*AI50)+((175*(AI54+AI55+AI56))+(1250*AI59)))*1.09</f>
        <v>3446.75</v>
      </c>
      <c r="AJ129" s="242">
        <f t="shared" si="249"/>
        <v>0</v>
      </c>
      <c r="AK129" s="242">
        <f t="shared" si="249"/>
        <v>0</v>
      </c>
      <c r="AL129" s="242">
        <f t="shared" si="249"/>
        <v>0</v>
      </c>
      <c r="AM129" s="242">
        <f t="shared" si="249"/>
        <v>0</v>
      </c>
      <c r="AN129" s="241">
        <f t="shared" si="199"/>
        <v>27362</v>
      </c>
      <c r="AP129" s="242">
        <f>(175*AP36)+((175*(AP41+AP43))+(75*AP50)+((175*(AP54+AP55+AP56))+(1250*AP59)))*1.09</f>
        <v>7113.25</v>
      </c>
      <c r="AQ129" s="242">
        <f t="shared" ref="AQ129:AU129" si="250">(175*AQ36)+((175*(AQ41+AQ43))+(75*AQ50)+((175*(AQ54+AQ55+AQ56))+(1250*AQ59)))*1.09</f>
        <v>1217.75</v>
      </c>
      <c r="AR129" s="242">
        <f t="shared" si="250"/>
        <v>0</v>
      </c>
      <c r="AS129" s="242">
        <f t="shared" si="250"/>
        <v>0</v>
      </c>
      <c r="AT129" s="242">
        <f t="shared" si="250"/>
        <v>327</v>
      </c>
      <c r="AU129" s="242">
        <f t="shared" si="250"/>
        <v>0</v>
      </c>
      <c r="AV129" s="241">
        <f t="shared" si="200"/>
        <v>8658</v>
      </c>
      <c r="AX129" s="242">
        <f>(175*AX36)+((175*(AX41+AX43))+(75*AX50)+((175*(AX54+AX55+AX56))+(1250*AX59)))*1.09</f>
        <v>436.00000000000006</v>
      </c>
      <c r="AY129" s="242">
        <f t="shared" ref="AY129:BC129" si="251">(175*AY36)+((175*(AY41+AY43))+(75*AY50)+((175*(AY54+AY55+AY56))+(1250*AY59)))*1.09</f>
        <v>256.75</v>
      </c>
      <c r="AZ129" s="242">
        <f t="shared" si="251"/>
        <v>0</v>
      </c>
      <c r="BA129" s="242">
        <f t="shared" si="251"/>
        <v>0</v>
      </c>
      <c r="BB129" s="242">
        <f t="shared" si="251"/>
        <v>81.75</v>
      </c>
      <c r="BC129" s="242">
        <f t="shared" si="251"/>
        <v>0</v>
      </c>
      <c r="BD129" s="241">
        <f t="shared" si="201"/>
        <v>774.5</v>
      </c>
      <c r="BF129" s="242">
        <f>(175*BF36)+((175*(BF41+BF43))+(75*BF50)+((175*(BF54+BF55+BF56))+(1250*BF59)))*1.09</f>
        <v>175</v>
      </c>
      <c r="BG129" s="242">
        <f t="shared" ref="BG129:BK129" si="252">(175*BG36)+((175*(BG41+BG43))+(75*BG50)+((175*(BG54+BG55+BG56))+(1250*BG59)))*1.09</f>
        <v>0</v>
      </c>
      <c r="BH129" s="242">
        <f t="shared" si="252"/>
        <v>0</v>
      </c>
      <c r="BI129" s="242">
        <f t="shared" si="252"/>
        <v>0</v>
      </c>
      <c r="BJ129" s="242">
        <f t="shared" si="252"/>
        <v>190.75</v>
      </c>
      <c r="BK129" s="242">
        <f t="shared" si="252"/>
        <v>0</v>
      </c>
      <c r="BL129" s="241">
        <f t="shared" si="243"/>
        <v>365.75</v>
      </c>
      <c r="BN129" s="241">
        <f t="shared" si="234"/>
        <v>87462.5</v>
      </c>
      <c r="BO129" s="241">
        <f t="shared" si="224"/>
        <v>13216</v>
      </c>
      <c r="BP129" s="241">
        <f t="shared" si="224"/>
        <v>0</v>
      </c>
      <c r="BQ129" s="241">
        <f t="shared" si="224"/>
        <v>0</v>
      </c>
      <c r="BR129" s="241">
        <f t="shared" si="224"/>
        <v>790.25</v>
      </c>
      <c r="BS129" s="241">
        <f t="shared" si="224"/>
        <v>0</v>
      </c>
      <c r="BT129" s="241">
        <f t="shared" si="244"/>
        <v>101468.75</v>
      </c>
    </row>
    <row r="130" spans="1:72" x14ac:dyDescent="0.25">
      <c r="A130" s="201" t="s">
        <v>247</v>
      </c>
      <c r="B130" s="244"/>
      <c r="C130" s="244"/>
      <c r="D130" s="244"/>
      <c r="E130" s="244"/>
      <c r="F130" s="244"/>
      <c r="G130" s="244"/>
      <c r="H130" s="241">
        <f t="shared" si="195"/>
        <v>0</v>
      </c>
      <c r="J130" s="244">
        <v>0</v>
      </c>
      <c r="K130" s="244"/>
      <c r="L130" s="244"/>
      <c r="M130" s="244"/>
      <c r="N130" s="244">
        <v>0</v>
      </c>
      <c r="O130" s="244"/>
      <c r="P130" s="241">
        <f t="shared" si="196"/>
        <v>0</v>
      </c>
      <c r="R130" s="244">
        <v>0</v>
      </c>
      <c r="S130" s="244"/>
      <c r="T130" s="244"/>
      <c r="U130" s="244"/>
      <c r="V130" s="244">
        <v>0</v>
      </c>
      <c r="W130" s="244"/>
      <c r="X130" s="241">
        <f t="shared" si="197"/>
        <v>0</v>
      </c>
      <c r="Z130" s="244">
        <v>0</v>
      </c>
      <c r="AA130" s="244"/>
      <c r="AB130" s="244"/>
      <c r="AC130" s="244"/>
      <c r="AD130" s="244">
        <v>0</v>
      </c>
      <c r="AE130" s="244"/>
      <c r="AF130" s="241">
        <f t="shared" si="198"/>
        <v>0</v>
      </c>
      <c r="AH130" s="244">
        <v>0</v>
      </c>
      <c r="AI130" s="244"/>
      <c r="AJ130" s="244"/>
      <c r="AK130" s="244"/>
      <c r="AL130" s="244">
        <v>0</v>
      </c>
      <c r="AM130" s="244"/>
      <c r="AN130" s="241">
        <f t="shared" si="199"/>
        <v>0</v>
      </c>
      <c r="AP130" s="279">
        <v>2500</v>
      </c>
      <c r="AQ130" s="244"/>
      <c r="AR130" s="244"/>
      <c r="AS130" s="244"/>
      <c r="AT130" s="244">
        <v>0</v>
      </c>
      <c r="AU130" s="244"/>
      <c r="AV130" s="241">
        <f t="shared" si="200"/>
        <v>2500</v>
      </c>
      <c r="AX130" s="244">
        <f>(135*(AX17+10)*12)+6000+15000+7000</f>
        <v>339040</v>
      </c>
      <c r="AY130" s="244">
        <v>22000</v>
      </c>
      <c r="AZ130" s="244"/>
      <c r="BA130" s="244"/>
      <c r="BB130" s="244">
        <v>0</v>
      </c>
      <c r="BC130" s="244"/>
      <c r="BD130" s="241">
        <f t="shared" si="201"/>
        <v>361040</v>
      </c>
      <c r="BF130" s="244"/>
      <c r="BG130" s="244"/>
      <c r="BH130" s="244"/>
      <c r="BI130" s="244"/>
      <c r="BJ130" s="244"/>
      <c r="BK130" s="244"/>
      <c r="BL130" s="241">
        <f t="shared" si="202"/>
        <v>0</v>
      </c>
      <c r="BN130" s="241">
        <f t="shared" si="234"/>
        <v>341540</v>
      </c>
      <c r="BO130" s="241">
        <f t="shared" si="224"/>
        <v>22000</v>
      </c>
      <c r="BP130" s="241">
        <f t="shared" si="224"/>
        <v>0</v>
      </c>
      <c r="BQ130" s="241">
        <f t="shared" si="224"/>
        <v>0</v>
      </c>
      <c r="BR130" s="241">
        <f t="shared" si="224"/>
        <v>0</v>
      </c>
      <c r="BS130" s="241">
        <f t="shared" si="224"/>
        <v>0</v>
      </c>
      <c r="BT130" s="241">
        <f t="shared" ref="BT130:BT131" si="253">SUM(BN130:BS130)</f>
        <v>363540</v>
      </c>
    </row>
    <row r="131" spans="1:72" x14ac:dyDescent="0.25">
      <c r="A131" s="202" t="s">
        <v>248</v>
      </c>
      <c r="B131" s="245">
        <v>10000</v>
      </c>
      <c r="C131" s="245"/>
      <c r="D131" s="245"/>
      <c r="E131" s="245"/>
      <c r="F131" s="245"/>
      <c r="G131" s="245"/>
      <c r="H131" s="262">
        <f t="shared" si="195"/>
        <v>10000</v>
      </c>
      <c r="J131" s="245">
        <v>15000</v>
      </c>
      <c r="K131" s="245"/>
      <c r="L131" s="245"/>
      <c r="M131" s="245"/>
      <c r="N131" s="245"/>
      <c r="O131" s="245"/>
      <c r="P131" s="262">
        <f t="shared" si="196"/>
        <v>15000</v>
      </c>
      <c r="R131" s="245">
        <v>15000</v>
      </c>
      <c r="S131" s="245"/>
      <c r="T131" s="245"/>
      <c r="U131" s="245"/>
      <c r="V131" s="245"/>
      <c r="W131" s="245"/>
      <c r="X131" s="262">
        <f t="shared" si="197"/>
        <v>15000</v>
      </c>
      <c r="Z131" s="245">
        <v>15000</v>
      </c>
      <c r="AA131" s="245"/>
      <c r="AB131" s="245"/>
      <c r="AC131" s="245"/>
      <c r="AD131" s="245"/>
      <c r="AE131" s="245"/>
      <c r="AF131" s="262">
        <f t="shared" si="198"/>
        <v>15000</v>
      </c>
      <c r="AH131" s="245">
        <v>15000</v>
      </c>
      <c r="AI131" s="245"/>
      <c r="AJ131" s="245"/>
      <c r="AK131" s="245"/>
      <c r="AL131" s="245"/>
      <c r="AM131" s="245"/>
      <c r="AN131" s="262">
        <f t="shared" si="199"/>
        <v>15000</v>
      </c>
      <c r="AP131" s="245">
        <v>3000</v>
      </c>
      <c r="AQ131" s="245"/>
      <c r="AR131" s="245"/>
      <c r="AS131" s="245"/>
      <c r="AT131" s="245"/>
      <c r="AU131" s="245"/>
      <c r="AV131" s="262">
        <f t="shared" si="200"/>
        <v>3000</v>
      </c>
      <c r="AX131" s="245">
        <v>2000</v>
      </c>
      <c r="AY131" s="245"/>
      <c r="AZ131" s="245"/>
      <c r="BA131" s="245"/>
      <c r="BB131" s="245"/>
      <c r="BC131" s="245"/>
      <c r="BD131" s="262">
        <f t="shared" si="201"/>
        <v>2000</v>
      </c>
      <c r="BF131" s="245"/>
      <c r="BG131" s="245"/>
      <c r="BH131" s="245"/>
      <c r="BI131" s="245"/>
      <c r="BJ131" s="245"/>
      <c r="BK131" s="245"/>
      <c r="BL131" s="262">
        <f t="shared" si="202"/>
        <v>0</v>
      </c>
      <c r="BN131" s="241">
        <f t="shared" si="234"/>
        <v>75000</v>
      </c>
      <c r="BO131" s="241">
        <f t="shared" si="224"/>
        <v>0</v>
      </c>
      <c r="BP131" s="241">
        <f t="shared" si="224"/>
        <v>0</v>
      </c>
      <c r="BQ131" s="241">
        <f t="shared" si="224"/>
        <v>0</v>
      </c>
      <c r="BR131" s="241">
        <f t="shared" si="224"/>
        <v>0</v>
      </c>
      <c r="BS131" s="241">
        <f t="shared" si="224"/>
        <v>0</v>
      </c>
      <c r="BT131" s="262">
        <f t="shared" si="253"/>
        <v>75000</v>
      </c>
    </row>
    <row r="132" spans="1:72" x14ac:dyDescent="0.25">
      <c r="A132" s="207" t="s">
        <v>330</v>
      </c>
      <c r="B132" s="258">
        <f>SUM(B126:B131)</f>
        <v>1721028.6915249126</v>
      </c>
      <c r="C132" s="258">
        <f t="shared" ref="C132:H132" si="254">SUM(C126:C131)</f>
        <v>276400.2</v>
      </c>
      <c r="D132" s="258">
        <f t="shared" si="254"/>
        <v>0</v>
      </c>
      <c r="E132" s="258">
        <f t="shared" si="254"/>
        <v>0</v>
      </c>
      <c r="F132" s="258">
        <f t="shared" si="254"/>
        <v>38315.875</v>
      </c>
      <c r="G132" s="258">
        <f t="shared" si="254"/>
        <v>0</v>
      </c>
      <c r="H132" s="258">
        <f t="shared" si="254"/>
        <v>2035744.7665249128</v>
      </c>
      <c r="J132" s="258">
        <f>SUM(J126:J131)</f>
        <v>4357285.7458754126</v>
      </c>
      <c r="K132" s="258">
        <f t="shared" ref="K132:P132" si="255">SUM(K126:K131)</f>
        <v>776375.8</v>
      </c>
      <c r="L132" s="258">
        <f t="shared" si="255"/>
        <v>0</v>
      </c>
      <c r="M132" s="258">
        <f t="shared" si="255"/>
        <v>0</v>
      </c>
      <c r="N132" s="258">
        <f t="shared" si="255"/>
        <v>0</v>
      </c>
      <c r="O132" s="258">
        <f t="shared" si="255"/>
        <v>0</v>
      </c>
      <c r="P132" s="258">
        <f t="shared" si="255"/>
        <v>5133661.5458754124</v>
      </c>
      <c r="R132" s="258">
        <f>SUM(R126:R131)</f>
        <v>1878393.0175062502</v>
      </c>
      <c r="S132" s="258">
        <f t="shared" ref="S132:X132" si="256">SUM(S126:S131)</f>
        <v>241370.8</v>
      </c>
      <c r="T132" s="258">
        <f t="shared" si="256"/>
        <v>0</v>
      </c>
      <c r="U132" s="258">
        <f t="shared" si="256"/>
        <v>0</v>
      </c>
      <c r="V132" s="258">
        <f t="shared" si="256"/>
        <v>0</v>
      </c>
      <c r="W132" s="258">
        <f t="shared" si="256"/>
        <v>0</v>
      </c>
      <c r="X132" s="258">
        <f t="shared" si="256"/>
        <v>2119763.81750625</v>
      </c>
      <c r="Z132" s="258">
        <f>SUM(Z126:Z131)</f>
        <v>2395137.8773304652</v>
      </c>
      <c r="AA132" s="258">
        <f t="shared" ref="AA132:AF132" si="257">SUM(AA126:AA131)</f>
        <v>300778.5</v>
      </c>
      <c r="AB132" s="258">
        <f t="shared" si="257"/>
        <v>0</v>
      </c>
      <c r="AC132" s="258">
        <f t="shared" si="257"/>
        <v>0</v>
      </c>
      <c r="AD132" s="258">
        <f t="shared" si="257"/>
        <v>0</v>
      </c>
      <c r="AE132" s="258">
        <f t="shared" si="257"/>
        <v>0</v>
      </c>
      <c r="AF132" s="258">
        <f t="shared" si="257"/>
        <v>2695916.3773304652</v>
      </c>
      <c r="AH132" s="258">
        <f>SUM(AH126:AH131)</f>
        <v>4138618.2137537501</v>
      </c>
      <c r="AI132" s="258">
        <f t="shared" ref="AI132:AN132" si="258">SUM(AI126:AI131)</f>
        <v>770451.72499999998</v>
      </c>
      <c r="AJ132" s="258">
        <f t="shared" si="258"/>
        <v>0</v>
      </c>
      <c r="AK132" s="258">
        <f t="shared" si="258"/>
        <v>0</v>
      </c>
      <c r="AL132" s="258">
        <f t="shared" si="258"/>
        <v>0</v>
      </c>
      <c r="AM132" s="258">
        <f t="shared" si="258"/>
        <v>0</v>
      </c>
      <c r="AN132" s="258">
        <f t="shared" si="258"/>
        <v>4909069.9387537502</v>
      </c>
      <c r="AP132" s="258">
        <f>SUM(AP126:AP131)</f>
        <v>1468336.42765125</v>
      </c>
      <c r="AQ132" s="258">
        <f t="shared" ref="AQ132:AV132" si="259">SUM(AQ126:AQ131)</f>
        <v>241008.55</v>
      </c>
      <c r="AR132" s="258">
        <f t="shared" si="259"/>
        <v>0</v>
      </c>
      <c r="AS132" s="258">
        <f t="shared" si="259"/>
        <v>0</v>
      </c>
      <c r="AT132" s="258">
        <f t="shared" si="259"/>
        <v>97264.261525000009</v>
      </c>
      <c r="AU132" s="258">
        <f t="shared" si="259"/>
        <v>0</v>
      </c>
      <c r="AV132" s="258">
        <f t="shared" si="259"/>
        <v>1806609.2391762501</v>
      </c>
      <c r="AX132" s="258">
        <f>SUM(AX126:AX131)</f>
        <v>459505.27545973996</v>
      </c>
      <c r="AY132" s="258">
        <f t="shared" ref="AY132:BD132" si="260">SUM(AY126:AY131)</f>
        <v>90949.373982499994</v>
      </c>
      <c r="AZ132" s="258">
        <f t="shared" si="260"/>
        <v>0</v>
      </c>
      <c r="BA132" s="258">
        <f t="shared" si="260"/>
        <v>0</v>
      </c>
      <c r="BB132" s="258">
        <f t="shared" si="260"/>
        <v>18723.8979725475</v>
      </c>
      <c r="BC132" s="258">
        <f t="shared" si="260"/>
        <v>0</v>
      </c>
      <c r="BD132" s="258">
        <f t="shared" si="260"/>
        <v>569178.54741478746</v>
      </c>
      <c r="BF132" s="258">
        <f>SUM(BF126:BF131)</f>
        <v>49792.480445000001</v>
      </c>
      <c r="BG132" s="258">
        <f t="shared" ref="BG132:BL132" si="261">SUM(BG126:BG131)</f>
        <v>0</v>
      </c>
      <c r="BH132" s="258">
        <f t="shared" si="261"/>
        <v>0</v>
      </c>
      <c r="BI132" s="258">
        <f t="shared" si="261"/>
        <v>0</v>
      </c>
      <c r="BJ132" s="258">
        <f t="shared" si="261"/>
        <v>56187.233518749999</v>
      </c>
      <c r="BK132" s="258">
        <f t="shared" si="261"/>
        <v>0</v>
      </c>
      <c r="BL132" s="258">
        <f t="shared" si="261"/>
        <v>105979.71396374999</v>
      </c>
      <c r="BN132" s="258">
        <f>SUM(BN126:BN131)</f>
        <v>16468097.729546782</v>
      </c>
      <c r="BO132" s="258">
        <f t="shared" ref="BO132:BT132" si="262">SUM(BO126:BO131)</f>
        <v>2697334.9489825</v>
      </c>
      <c r="BP132" s="258">
        <f t="shared" si="262"/>
        <v>0</v>
      </c>
      <c r="BQ132" s="258">
        <f t="shared" si="262"/>
        <v>0</v>
      </c>
      <c r="BR132" s="258">
        <f t="shared" si="262"/>
        <v>210491.26801629749</v>
      </c>
      <c r="BS132" s="258">
        <f t="shared" si="262"/>
        <v>0</v>
      </c>
      <c r="BT132" s="258">
        <f t="shared" si="262"/>
        <v>19375923.946545579</v>
      </c>
    </row>
    <row r="133" spans="1:72" x14ac:dyDescent="0.25">
      <c r="B133" s="263"/>
      <c r="C133" s="263"/>
      <c r="D133" s="263"/>
      <c r="E133" s="263"/>
      <c r="F133" s="263"/>
      <c r="G133" s="263"/>
      <c r="H133" s="263"/>
      <c r="J133" s="263"/>
      <c r="K133" s="263"/>
      <c r="L133" s="263"/>
      <c r="M133" s="263"/>
      <c r="N133" s="263"/>
      <c r="O133" s="263"/>
      <c r="P133" s="263"/>
      <c r="R133" s="263"/>
      <c r="S133" s="263"/>
      <c r="T133" s="263"/>
      <c r="U133" s="263"/>
      <c r="V133" s="263"/>
      <c r="W133" s="263"/>
      <c r="X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P133" s="263"/>
      <c r="AQ133" s="263"/>
      <c r="AR133" s="263"/>
      <c r="AS133" s="263"/>
      <c r="AT133" s="263"/>
      <c r="AU133" s="263"/>
      <c r="AV133" s="263"/>
      <c r="AX133" s="263"/>
      <c r="AY133" s="263"/>
      <c r="AZ133" s="263"/>
      <c r="BA133" s="263"/>
      <c r="BB133" s="263"/>
      <c r="BC133" s="263"/>
      <c r="BD133" s="263"/>
      <c r="BF133" s="263"/>
      <c r="BG133" s="263"/>
      <c r="BH133" s="263"/>
      <c r="BI133" s="263"/>
      <c r="BJ133" s="263"/>
      <c r="BK133" s="263"/>
      <c r="BL133" s="263"/>
      <c r="BN133" s="263"/>
      <c r="BO133" s="263"/>
      <c r="BP133" s="263"/>
      <c r="BQ133" s="263"/>
      <c r="BR133" s="263"/>
      <c r="BS133" s="263"/>
      <c r="BT133" s="263"/>
    </row>
    <row r="134" spans="1:72" x14ac:dyDescent="0.25">
      <c r="A134" s="208" t="s">
        <v>330</v>
      </c>
      <c r="B134" s="260" t="s">
        <v>309</v>
      </c>
      <c r="C134" s="260" t="s">
        <v>310</v>
      </c>
      <c r="D134" s="260" t="s">
        <v>311</v>
      </c>
      <c r="E134" s="260" t="str">
        <f>E118</f>
        <v>Other</v>
      </c>
      <c r="F134" s="260" t="s">
        <v>315</v>
      </c>
      <c r="G134" s="260" t="s">
        <v>314</v>
      </c>
      <c r="H134" s="260" t="str">
        <f>H118</f>
        <v>Horizon</v>
      </c>
      <c r="J134" s="260" t="s">
        <v>309</v>
      </c>
      <c r="K134" s="260" t="s">
        <v>310</v>
      </c>
      <c r="L134" s="260" t="s">
        <v>311</v>
      </c>
      <c r="M134" s="260" t="str">
        <f>M118</f>
        <v>Other</v>
      </c>
      <c r="N134" s="260" t="s">
        <v>315</v>
      </c>
      <c r="O134" s="260" t="s">
        <v>314</v>
      </c>
      <c r="P134" s="260" t="str">
        <f>P118</f>
        <v>Cadence</v>
      </c>
      <c r="R134" s="260" t="s">
        <v>309</v>
      </c>
      <c r="S134" s="260" t="s">
        <v>310</v>
      </c>
      <c r="T134" s="260" t="s">
        <v>311</v>
      </c>
      <c r="U134" s="260" t="str">
        <f>U118</f>
        <v>Other</v>
      </c>
      <c r="V134" s="260" t="s">
        <v>315</v>
      </c>
      <c r="W134" s="260" t="s">
        <v>314</v>
      </c>
      <c r="X134" s="260" t="str">
        <f>X118</f>
        <v>St. Rose</v>
      </c>
      <c r="Z134" s="260" t="s">
        <v>309</v>
      </c>
      <c r="AA134" s="260" t="s">
        <v>310</v>
      </c>
      <c r="AB134" s="260" t="s">
        <v>311</v>
      </c>
      <c r="AC134" s="260" t="str">
        <f>AC118</f>
        <v>Other</v>
      </c>
      <c r="AD134" s="260" t="s">
        <v>315</v>
      </c>
      <c r="AE134" s="260" t="s">
        <v>314</v>
      </c>
      <c r="AF134" s="260" t="str">
        <f>AF118</f>
        <v>Inspirada</v>
      </c>
      <c r="AH134" s="260" t="s">
        <v>309</v>
      </c>
      <c r="AI134" s="260" t="s">
        <v>310</v>
      </c>
      <c r="AJ134" s="260" t="s">
        <v>311</v>
      </c>
      <c r="AK134" s="260" t="str">
        <f>AK118</f>
        <v>Other</v>
      </c>
      <c r="AL134" s="260" t="s">
        <v>315</v>
      </c>
      <c r="AM134" s="260" t="s">
        <v>314</v>
      </c>
      <c r="AN134" s="260" t="str">
        <f>AN118</f>
        <v>Sloan</v>
      </c>
      <c r="AP134" s="260" t="s">
        <v>309</v>
      </c>
      <c r="AQ134" s="260" t="s">
        <v>310</v>
      </c>
      <c r="AR134" s="260" t="s">
        <v>311</v>
      </c>
      <c r="AS134" s="260" t="str">
        <f>AS118</f>
        <v>Other</v>
      </c>
      <c r="AT134" s="260" t="s">
        <v>315</v>
      </c>
      <c r="AU134" s="260" t="s">
        <v>314</v>
      </c>
      <c r="AV134" s="260" t="str">
        <f>AV118</f>
        <v>Springs</v>
      </c>
      <c r="AX134" s="260" t="s">
        <v>309</v>
      </c>
      <c r="AY134" s="260" t="s">
        <v>310</v>
      </c>
      <c r="AZ134" s="260" t="s">
        <v>311</v>
      </c>
      <c r="BA134" s="260" t="str">
        <f>BA118</f>
        <v>Other</v>
      </c>
      <c r="BB134" s="260" t="s">
        <v>315</v>
      </c>
      <c r="BC134" s="260" t="s">
        <v>314</v>
      </c>
      <c r="BD134" s="260" t="str">
        <f>BD118</f>
        <v>Virtual</v>
      </c>
      <c r="BF134" s="260" t="s">
        <v>309</v>
      </c>
      <c r="BG134" s="260" t="s">
        <v>310</v>
      </c>
      <c r="BH134" s="260" t="s">
        <v>311</v>
      </c>
      <c r="BI134" s="260" t="str">
        <f>BI118</f>
        <v>Other</v>
      </c>
      <c r="BJ134" s="260" t="s">
        <v>315</v>
      </c>
      <c r="BK134" s="260" t="s">
        <v>314</v>
      </c>
      <c r="BL134" s="260" t="str">
        <f>BL118</f>
        <v>Central</v>
      </c>
      <c r="BN134" s="260" t="s">
        <v>309</v>
      </c>
      <c r="BO134" s="260" t="s">
        <v>310</v>
      </c>
      <c r="BP134" s="260" t="s">
        <v>311</v>
      </c>
      <c r="BQ134" s="260" t="str">
        <f>BQ118</f>
        <v>Other</v>
      </c>
      <c r="BR134" s="260" t="s">
        <v>315</v>
      </c>
      <c r="BS134" s="260" t="s">
        <v>314</v>
      </c>
      <c r="BT134" s="260" t="str">
        <f>BT118</f>
        <v>System</v>
      </c>
    </row>
    <row r="135" spans="1:72" x14ac:dyDescent="0.25">
      <c r="A135" s="209" t="s">
        <v>252</v>
      </c>
      <c r="B135" s="257">
        <f>(240*950)</f>
        <v>228000</v>
      </c>
      <c r="C135" s="257"/>
      <c r="D135" s="257"/>
      <c r="E135" s="257"/>
      <c r="F135" s="257"/>
      <c r="G135" s="257"/>
      <c r="H135" s="257">
        <f>SUM(B135:G135)</f>
        <v>228000</v>
      </c>
      <c r="J135" s="257">
        <f>(240*2550)</f>
        <v>612000</v>
      </c>
      <c r="L135" s="257"/>
      <c r="M135" s="257"/>
      <c r="N135" s="257"/>
      <c r="O135" s="257"/>
      <c r="P135" s="257">
        <f>SUM(J135:O135)</f>
        <v>612000</v>
      </c>
      <c r="R135" s="257">
        <f>(240*1050)</f>
        <v>252000</v>
      </c>
      <c r="S135" s="257"/>
      <c r="T135" s="257"/>
      <c r="U135" s="257"/>
      <c r="V135" s="257"/>
      <c r="W135" s="257"/>
      <c r="X135" s="257">
        <f>SUM(R135:W135)</f>
        <v>252000</v>
      </c>
      <c r="Z135" s="257">
        <f>(240*1200)</f>
        <v>288000</v>
      </c>
      <c r="AA135" s="257"/>
      <c r="AB135" s="257"/>
      <c r="AC135" s="257"/>
      <c r="AD135" s="257"/>
      <c r="AE135" s="257"/>
      <c r="AF135" s="257">
        <f>SUM(Z135:AE135)</f>
        <v>288000</v>
      </c>
      <c r="AH135" s="257">
        <f>(240*2550)</f>
        <v>612000</v>
      </c>
      <c r="AI135" s="257"/>
      <c r="AJ135" s="257"/>
      <c r="AK135" s="257"/>
      <c r="AL135" s="257"/>
      <c r="AM135" s="257"/>
      <c r="AN135" s="257">
        <f>SUM(AH135:AM135)</f>
        <v>612000</v>
      </c>
      <c r="AP135" s="257">
        <f>(240*850)</f>
        <v>204000</v>
      </c>
      <c r="AQ135" s="257"/>
      <c r="AR135" s="257"/>
      <c r="AS135" s="257"/>
      <c r="AT135" s="257"/>
      <c r="AU135" s="257"/>
      <c r="AV135" s="257">
        <f>SUM(AP135:AU135)</f>
        <v>204000</v>
      </c>
      <c r="AX135" s="257">
        <f>(460*150)</f>
        <v>69000</v>
      </c>
      <c r="AY135" s="257"/>
      <c r="AZ135" s="257"/>
      <c r="BA135" s="257"/>
      <c r="BB135" s="257"/>
      <c r="BC135" s="257"/>
      <c r="BD135" s="257">
        <f>SUM(AX135:BC135)</f>
        <v>69000</v>
      </c>
      <c r="BF135" s="257"/>
      <c r="BG135" s="257"/>
      <c r="BH135" s="257"/>
      <c r="BI135" s="257"/>
      <c r="BJ135" s="257"/>
      <c r="BK135" s="257"/>
      <c r="BL135" s="257">
        <f>SUM(BF135:BK135)</f>
        <v>0</v>
      </c>
      <c r="BN135" s="241">
        <f>B135+J135+R135+Z135+AH135+AP135+AX135+BF135</f>
        <v>2265000</v>
      </c>
      <c r="BO135" s="241">
        <f t="shared" ref="BO135:BS140" si="263">C135+K135+S135+AA135+AI135+AQ135+AY135+BG135</f>
        <v>0</v>
      </c>
      <c r="BP135" s="241">
        <f t="shared" si="263"/>
        <v>0</v>
      </c>
      <c r="BQ135" s="241">
        <f t="shared" si="263"/>
        <v>0</v>
      </c>
      <c r="BR135" s="241">
        <f t="shared" si="263"/>
        <v>0</v>
      </c>
      <c r="BS135" s="241">
        <f t="shared" si="263"/>
        <v>0</v>
      </c>
      <c r="BT135" s="257">
        <f>SUM(BN135:BS135)</f>
        <v>2265000</v>
      </c>
    </row>
    <row r="136" spans="1:72" x14ac:dyDescent="0.25">
      <c r="A136" s="210" t="s">
        <v>253</v>
      </c>
      <c r="B136" s="244"/>
      <c r="C136" s="244"/>
      <c r="D136" s="244"/>
      <c r="E136" s="244"/>
      <c r="F136" s="244"/>
      <c r="G136" s="244"/>
      <c r="H136" s="257">
        <f t="shared" ref="H136:H140" si="264">SUM(B136:G136)</f>
        <v>0</v>
      </c>
      <c r="J136" s="244">
        <v>500000</v>
      </c>
      <c r="K136" s="244"/>
      <c r="L136" s="244"/>
      <c r="M136" s="244"/>
      <c r="N136" s="244"/>
      <c r="O136" s="244"/>
      <c r="P136" s="257">
        <f t="shared" ref="P136:P140" si="265">SUM(J136:O136)</f>
        <v>500000</v>
      </c>
      <c r="R136" s="244"/>
      <c r="S136" s="244"/>
      <c r="T136" s="244"/>
      <c r="U136" s="244"/>
      <c r="V136" s="244"/>
      <c r="W136" s="244"/>
      <c r="X136" s="257">
        <f t="shared" ref="X136:X140" si="266">SUM(R136:W136)</f>
        <v>0</v>
      </c>
      <c r="Z136" s="244"/>
      <c r="AA136" s="244"/>
      <c r="AB136" s="244"/>
      <c r="AC136" s="244"/>
      <c r="AD136" s="244"/>
      <c r="AE136" s="244"/>
      <c r="AF136" s="257">
        <f t="shared" ref="AF136:AF140" si="267">SUM(Z136:AE136)</f>
        <v>0</v>
      </c>
      <c r="AH136" s="244">
        <v>500000</v>
      </c>
      <c r="AI136" s="244"/>
      <c r="AJ136" s="244"/>
      <c r="AK136" s="244"/>
      <c r="AL136" s="244"/>
      <c r="AM136" s="244"/>
      <c r="AN136" s="257">
        <f t="shared" ref="AN136:AN140" si="268">SUM(AH136:AM136)</f>
        <v>500000</v>
      </c>
      <c r="AP136" s="244"/>
      <c r="AQ136" s="244"/>
      <c r="AR136" s="244"/>
      <c r="AS136" s="244"/>
      <c r="AT136" s="244"/>
      <c r="AU136" s="244"/>
      <c r="AV136" s="257">
        <f t="shared" ref="AV136:AV140" si="269">SUM(AP136:AU136)</f>
        <v>0</v>
      </c>
      <c r="AX136" s="244">
        <v>37500</v>
      </c>
      <c r="AY136" s="244"/>
      <c r="AZ136" s="244"/>
      <c r="BA136" s="244"/>
      <c r="BB136" s="244"/>
      <c r="BC136" s="244"/>
      <c r="BD136" s="257">
        <f t="shared" ref="BD136:BD140" si="270">SUM(AX136:BC136)</f>
        <v>37500</v>
      </c>
      <c r="BF136" s="244"/>
      <c r="BG136" s="244"/>
      <c r="BH136" s="244"/>
      <c r="BI136" s="244"/>
      <c r="BJ136" s="244"/>
      <c r="BK136" s="244"/>
      <c r="BL136" s="257">
        <f t="shared" ref="BL136:BL140" si="271">SUM(BF136:BK136)</f>
        <v>0</v>
      </c>
      <c r="BN136" s="241">
        <f t="shared" ref="BN136:BN140" si="272">B136+J136+R136+Z136+AH136+AP136+AX136+BF136</f>
        <v>1037500</v>
      </c>
      <c r="BO136" s="241">
        <f t="shared" si="263"/>
        <v>0</v>
      </c>
      <c r="BP136" s="241">
        <f t="shared" si="263"/>
        <v>0</v>
      </c>
      <c r="BQ136" s="241">
        <f t="shared" si="263"/>
        <v>0</v>
      </c>
      <c r="BR136" s="241">
        <f t="shared" si="263"/>
        <v>0</v>
      </c>
      <c r="BS136" s="241">
        <f t="shared" si="263"/>
        <v>0</v>
      </c>
      <c r="BT136" s="257">
        <f t="shared" ref="BT136:BT140" si="273">SUM(BN136:BS136)</f>
        <v>1037500</v>
      </c>
    </row>
    <row r="137" spans="1:72" x14ac:dyDescent="0.25">
      <c r="A137" s="211" t="s">
        <v>254</v>
      </c>
      <c r="B137" s="244"/>
      <c r="C137" s="244"/>
      <c r="D137" s="244"/>
      <c r="E137" s="244"/>
      <c r="F137" s="244"/>
      <c r="G137" s="244"/>
      <c r="H137" s="257">
        <f t="shared" si="264"/>
        <v>0</v>
      </c>
      <c r="J137" s="244">
        <v>33500</v>
      </c>
      <c r="K137" s="244"/>
      <c r="L137" s="244"/>
      <c r="M137" s="244"/>
      <c r="N137" s="244"/>
      <c r="O137" s="244"/>
      <c r="P137" s="257">
        <f t="shared" si="265"/>
        <v>33500</v>
      </c>
      <c r="R137" s="244"/>
      <c r="S137" s="244"/>
      <c r="T137" s="244"/>
      <c r="U137" s="244"/>
      <c r="V137" s="244"/>
      <c r="W137" s="244"/>
      <c r="X137" s="257">
        <f t="shared" si="266"/>
        <v>0</v>
      </c>
      <c r="Z137" s="244"/>
      <c r="AA137" s="244"/>
      <c r="AB137" s="244"/>
      <c r="AC137" s="244"/>
      <c r="AD137" s="244"/>
      <c r="AE137" s="244"/>
      <c r="AF137" s="257">
        <f t="shared" si="267"/>
        <v>0</v>
      </c>
      <c r="AH137" s="244">
        <v>65000</v>
      </c>
      <c r="AI137" s="244"/>
      <c r="AJ137" s="244"/>
      <c r="AK137" s="244"/>
      <c r="AL137" s="244"/>
      <c r="AM137" s="244"/>
      <c r="AN137" s="257">
        <f t="shared" si="268"/>
        <v>65000</v>
      </c>
      <c r="AP137" s="244"/>
      <c r="AQ137" s="244"/>
      <c r="AR137" s="244"/>
      <c r="AS137" s="244"/>
      <c r="AT137" s="244"/>
      <c r="AU137" s="244"/>
      <c r="AV137" s="257">
        <f t="shared" si="269"/>
        <v>0</v>
      </c>
      <c r="AX137" s="244">
        <v>0</v>
      </c>
      <c r="AY137" s="244"/>
      <c r="AZ137" s="244"/>
      <c r="BA137" s="244"/>
      <c r="BB137" s="244"/>
      <c r="BC137" s="244"/>
      <c r="BD137" s="257">
        <f t="shared" si="270"/>
        <v>0</v>
      </c>
      <c r="BF137" s="244"/>
      <c r="BG137" s="244"/>
      <c r="BH137" s="244"/>
      <c r="BI137" s="244"/>
      <c r="BJ137" s="244">
        <v>290000</v>
      </c>
      <c r="BK137" s="244"/>
      <c r="BL137" s="257">
        <f t="shared" si="271"/>
        <v>290000</v>
      </c>
      <c r="BN137" s="241">
        <f t="shared" si="272"/>
        <v>98500</v>
      </c>
      <c r="BO137" s="241">
        <f t="shared" si="263"/>
        <v>0</v>
      </c>
      <c r="BP137" s="241">
        <f t="shared" si="263"/>
        <v>0</v>
      </c>
      <c r="BQ137" s="241">
        <f t="shared" si="263"/>
        <v>0</v>
      </c>
      <c r="BR137" s="241">
        <f t="shared" si="263"/>
        <v>290000</v>
      </c>
      <c r="BS137" s="241">
        <f t="shared" si="263"/>
        <v>0</v>
      </c>
      <c r="BT137" s="257">
        <f t="shared" si="273"/>
        <v>388500</v>
      </c>
    </row>
    <row r="138" spans="1:72" x14ac:dyDescent="0.25">
      <c r="A138" s="211" t="s">
        <v>255</v>
      </c>
      <c r="B138" s="244">
        <f>38*B17</f>
        <v>35226</v>
      </c>
      <c r="C138" s="244"/>
      <c r="D138" s="244"/>
      <c r="E138" s="244"/>
      <c r="F138" s="244"/>
      <c r="G138" s="244"/>
      <c r="H138" s="257">
        <f t="shared" si="264"/>
        <v>35226</v>
      </c>
      <c r="J138" s="244">
        <f>38*J17</f>
        <v>95532</v>
      </c>
      <c r="K138" s="244"/>
      <c r="L138" s="244"/>
      <c r="M138" s="244"/>
      <c r="N138" s="244"/>
      <c r="O138" s="244"/>
      <c r="P138" s="257">
        <f t="shared" si="265"/>
        <v>95532</v>
      </c>
      <c r="R138" s="244">
        <f>38*R17</f>
        <v>39140</v>
      </c>
      <c r="S138" s="244"/>
      <c r="T138" s="244"/>
      <c r="U138" s="244"/>
      <c r="V138" s="244"/>
      <c r="W138" s="244"/>
      <c r="X138" s="257">
        <f t="shared" si="266"/>
        <v>39140</v>
      </c>
      <c r="Z138" s="244">
        <f>38*Z17</f>
        <v>45524</v>
      </c>
      <c r="AA138" s="244"/>
      <c r="AB138" s="244"/>
      <c r="AC138" s="244"/>
      <c r="AD138" s="244"/>
      <c r="AE138" s="244"/>
      <c r="AF138" s="257">
        <f t="shared" si="267"/>
        <v>45524</v>
      </c>
      <c r="AH138" s="244">
        <f>38*AH17+20000</f>
        <v>115304</v>
      </c>
      <c r="AI138" s="244"/>
      <c r="AJ138" s="244"/>
      <c r="AK138" s="244"/>
      <c r="AL138" s="244"/>
      <c r="AM138" s="244"/>
      <c r="AN138" s="257">
        <f t="shared" si="268"/>
        <v>115304</v>
      </c>
      <c r="AP138" s="244">
        <f>37*AP17</f>
        <v>33818</v>
      </c>
      <c r="AQ138" s="244"/>
      <c r="AR138" s="244"/>
      <c r="AS138" s="244"/>
      <c r="AT138" s="244"/>
      <c r="AU138" s="244"/>
      <c r="AV138" s="257">
        <f t="shared" si="269"/>
        <v>33818</v>
      </c>
      <c r="AX138" s="244">
        <f>28*AX17</f>
        <v>5096</v>
      </c>
      <c r="AY138" s="244"/>
      <c r="AZ138" s="244"/>
      <c r="BA138" s="244"/>
      <c r="BB138" s="244"/>
      <c r="BC138" s="244"/>
      <c r="BD138" s="257">
        <f t="shared" si="270"/>
        <v>5096</v>
      </c>
      <c r="BF138" s="244">
        <f>35*BF17</f>
        <v>0</v>
      </c>
      <c r="BG138" s="244"/>
      <c r="BH138" s="244"/>
      <c r="BI138" s="244"/>
      <c r="BJ138" s="244"/>
      <c r="BK138" s="244"/>
      <c r="BL138" s="257">
        <f t="shared" si="271"/>
        <v>0</v>
      </c>
      <c r="BN138" s="241">
        <f t="shared" si="272"/>
        <v>369640</v>
      </c>
      <c r="BO138" s="241">
        <f t="shared" si="263"/>
        <v>0</v>
      </c>
      <c r="BP138" s="241">
        <f t="shared" si="263"/>
        <v>0</v>
      </c>
      <c r="BQ138" s="241">
        <f t="shared" si="263"/>
        <v>0</v>
      </c>
      <c r="BR138" s="241">
        <f t="shared" si="263"/>
        <v>0</v>
      </c>
      <c r="BS138" s="241">
        <f t="shared" si="263"/>
        <v>0</v>
      </c>
      <c r="BT138" s="257">
        <f t="shared" si="273"/>
        <v>369640</v>
      </c>
    </row>
    <row r="139" spans="1:72" x14ac:dyDescent="0.25">
      <c r="A139" s="211" t="s">
        <v>256</v>
      </c>
      <c r="B139" s="244">
        <v>0</v>
      </c>
      <c r="C139" s="244"/>
      <c r="D139" s="244"/>
      <c r="E139" s="244"/>
      <c r="F139" s="244"/>
      <c r="G139" s="244"/>
      <c r="H139" s="257">
        <f t="shared" si="264"/>
        <v>0</v>
      </c>
      <c r="J139" s="244"/>
      <c r="K139" s="244"/>
      <c r="L139" s="244"/>
      <c r="M139" s="244"/>
      <c r="N139" s="244"/>
      <c r="O139" s="244"/>
      <c r="P139" s="257">
        <f t="shared" si="265"/>
        <v>0</v>
      </c>
      <c r="R139" s="244">
        <v>0</v>
      </c>
      <c r="S139" s="244"/>
      <c r="T139" s="244"/>
      <c r="U139" s="244"/>
      <c r="V139" s="244"/>
      <c r="W139" s="244"/>
      <c r="X139" s="257">
        <f t="shared" si="266"/>
        <v>0</v>
      </c>
      <c r="Z139" s="244">
        <v>0</v>
      </c>
      <c r="AA139" s="244"/>
      <c r="AB139" s="244"/>
      <c r="AC139" s="244"/>
      <c r="AD139" s="244"/>
      <c r="AE139" s="244"/>
      <c r="AF139" s="257">
        <f t="shared" si="267"/>
        <v>0</v>
      </c>
      <c r="AH139" s="244">
        <v>0</v>
      </c>
      <c r="AI139" s="244"/>
      <c r="AJ139" s="244"/>
      <c r="AK139" s="244"/>
      <c r="AL139" s="244"/>
      <c r="AM139" s="244"/>
      <c r="AN139" s="257">
        <f t="shared" si="268"/>
        <v>0</v>
      </c>
      <c r="AP139" s="244">
        <v>0</v>
      </c>
      <c r="AQ139" s="244"/>
      <c r="AR139" s="244"/>
      <c r="AS139" s="244"/>
      <c r="AT139" s="244"/>
      <c r="AU139" s="244"/>
      <c r="AV139" s="257">
        <f t="shared" si="269"/>
        <v>0</v>
      </c>
      <c r="AX139" s="244">
        <v>0</v>
      </c>
      <c r="AY139" s="244"/>
      <c r="AZ139" s="244"/>
      <c r="BA139" s="244"/>
      <c r="BB139" s="244"/>
      <c r="BC139" s="244"/>
      <c r="BD139" s="257">
        <f t="shared" si="270"/>
        <v>0</v>
      </c>
      <c r="BF139" s="244">
        <f>(22*BF17)</f>
        <v>0</v>
      </c>
      <c r="BG139" s="244"/>
      <c r="BH139" s="244"/>
      <c r="BI139" s="244"/>
      <c r="BJ139" s="244"/>
      <c r="BK139" s="244"/>
      <c r="BL139" s="257">
        <f t="shared" si="271"/>
        <v>0</v>
      </c>
      <c r="BN139" s="241">
        <f t="shared" si="272"/>
        <v>0</v>
      </c>
      <c r="BO139" s="241">
        <f t="shared" si="263"/>
        <v>0</v>
      </c>
      <c r="BP139" s="241">
        <f t="shared" si="263"/>
        <v>0</v>
      </c>
      <c r="BQ139" s="241">
        <f t="shared" si="263"/>
        <v>0</v>
      </c>
      <c r="BR139" s="241">
        <f t="shared" si="263"/>
        <v>0</v>
      </c>
      <c r="BS139" s="241">
        <f t="shared" si="263"/>
        <v>0</v>
      </c>
      <c r="BT139" s="257">
        <f t="shared" si="273"/>
        <v>0</v>
      </c>
    </row>
    <row r="140" spans="1:72" x14ac:dyDescent="0.25">
      <c r="A140" s="212" t="s">
        <v>257</v>
      </c>
      <c r="B140" s="245"/>
      <c r="C140" s="245">
        <f>190*C21</f>
        <v>21280</v>
      </c>
      <c r="D140" s="245"/>
      <c r="E140" s="245"/>
      <c r="F140" s="245"/>
      <c r="G140" s="245"/>
      <c r="H140" s="257">
        <f t="shared" si="264"/>
        <v>21280</v>
      </c>
      <c r="J140" s="245"/>
      <c r="K140" s="245">
        <f>190*K21</f>
        <v>54150</v>
      </c>
      <c r="L140" s="245"/>
      <c r="M140" s="245"/>
      <c r="N140" s="245"/>
      <c r="O140" s="245"/>
      <c r="P140" s="257">
        <f t="shared" si="265"/>
        <v>54150</v>
      </c>
      <c r="R140" s="245"/>
      <c r="S140" s="245">
        <f>190*S21</f>
        <v>15200</v>
      </c>
      <c r="T140" s="245"/>
      <c r="U140" s="245"/>
      <c r="V140" s="245"/>
      <c r="W140" s="245"/>
      <c r="X140" s="257">
        <f t="shared" si="266"/>
        <v>15200</v>
      </c>
      <c r="Z140" s="245"/>
      <c r="AA140" s="245">
        <f>190*AA21</f>
        <v>19000</v>
      </c>
      <c r="AB140" s="245"/>
      <c r="AC140" s="245"/>
      <c r="AD140" s="245"/>
      <c r="AE140" s="245"/>
      <c r="AF140" s="257">
        <f t="shared" si="267"/>
        <v>19000</v>
      </c>
      <c r="AH140" s="245"/>
      <c r="AI140" s="245">
        <f>190*AI21</f>
        <v>40850</v>
      </c>
      <c r="AJ140" s="245"/>
      <c r="AK140" s="245"/>
      <c r="AL140" s="245"/>
      <c r="AM140" s="245"/>
      <c r="AN140" s="257">
        <f t="shared" si="268"/>
        <v>40850</v>
      </c>
      <c r="AP140" s="245"/>
      <c r="AQ140" s="245">
        <f>185*AQ21</f>
        <v>17760</v>
      </c>
      <c r="AR140" s="245"/>
      <c r="AS140" s="245"/>
      <c r="AT140" s="245"/>
      <c r="AU140" s="245"/>
      <c r="AV140" s="257">
        <f t="shared" si="269"/>
        <v>17760</v>
      </c>
      <c r="AX140" s="245"/>
      <c r="AY140" s="245">
        <f>190*AY21</f>
        <v>3990</v>
      </c>
      <c r="AZ140" s="245"/>
      <c r="BA140" s="245"/>
      <c r="BB140" s="245"/>
      <c r="BC140" s="245"/>
      <c r="BD140" s="257">
        <f t="shared" si="270"/>
        <v>3990</v>
      </c>
      <c r="BF140" s="245"/>
      <c r="BG140" s="245">
        <f>175*BG21</f>
        <v>0</v>
      </c>
      <c r="BH140" s="245"/>
      <c r="BI140" s="245"/>
      <c r="BJ140" s="245"/>
      <c r="BK140" s="245"/>
      <c r="BL140" s="257">
        <f t="shared" si="271"/>
        <v>0</v>
      </c>
      <c r="BN140" s="241">
        <f t="shared" si="272"/>
        <v>0</v>
      </c>
      <c r="BO140" s="241">
        <f t="shared" si="263"/>
        <v>172230</v>
      </c>
      <c r="BP140" s="241">
        <f t="shared" si="263"/>
        <v>0</v>
      </c>
      <c r="BQ140" s="241">
        <f t="shared" si="263"/>
        <v>0</v>
      </c>
      <c r="BR140" s="241">
        <f t="shared" si="263"/>
        <v>0</v>
      </c>
      <c r="BS140" s="241">
        <f t="shared" si="263"/>
        <v>0</v>
      </c>
      <c r="BT140" s="257">
        <f t="shared" si="273"/>
        <v>172230</v>
      </c>
    </row>
    <row r="141" spans="1:72" x14ac:dyDescent="0.25">
      <c r="A141" s="213"/>
      <c r="B141" s="258">
        <f>SUM(B135:B140)</f>
        <v>263226</v>
      </c>
      <c r="C141" s="258">
        <f t="shared" ref="C141:H141" si="274">SUM(C135:C140)</f>
        <v>21280</v>
      </c>
      <c r="D141" s="258">
        <f t="shared" si="274"/>
        <v>0</v>
      </c>
      <c r="E141" s="258">
        <f t="shared" si="274"/>
        <v>0</v>
      </c>
      <c r="F141" s="258">
        <f t="shared" si="274"/>
        <v>0</v>
      </c>
      <c r="G141" s="258">
        <f t="shared" si="274"/>
        <v>0</v>
      </c>
      <c r="H141" s="258">
        <f t="shared" si="274"/>
        <v>284506</v>
      </c>
      <c r="J141" s="258">
        <f>SUM(J135:J140)</f>
        <v>1241032</v>
      </c>
      <c r="K141" s="258">
        <f>SUM(K134:K140)</f>
        <v>54150</v>
      </c>
      <c r="L141" s="258">
        <f t="shared" ref="L141:P141" si="275">SUM(L135:L140)</f>
        <v>0</v>
      </c>
      <c r="M141" s="258">
        <f t="shared" si="275"/>
        <v>0</v>
      </c>
      <c r="N141" s="258">
        <f t="shared" si="275"/>
        <v>0</v>
      </c>
      <c r="O141" s="258">
        <f t="shared" si="275"/>
        <v>0</v>
      </c>
      <c r="P141" s="258">
        <f t="shared" si="275"/>
        <v>1295182</v>
      </c>
      <c r="R141" s="258">
        <f>SUM(R135:R140)</f>
        <v>291140</v>
      </c>
      <c r="S141" s="258">
        <f t="shared" ref="S141:X141" si="276">SUM(S135:S140)</f>
        <v>15200</v>
      </c>
      <c r="T141" s="258">
        <f t="shared" si="276"/>
        <v>0</v>
      </c>
      <c r="U141" s="258">
        <f t="shared" si="276"/>
        <v>0</v>
      </c>
      <c r="V141" s="258">
        <f t="shared" si="276"/>
        <v>0</v>
      </c>
      <c r="W141" s="258">
        <f t="shared" si="276"/>
        <v>0</v>
      </c>
      <c r="X141" s="258">
        <f t="shared" si="276"/>
        <v>306340</v>
      </c>
      <c r="Z141" s="258">
        <f>SUM(Z135:Z140)</f>
        <v>333524</v>
      </c>
      <c r="AA141" s="258">
        <f t="shared" ref="AA141:AF141" si="277">SUM(AA135:AA140)</f>
        <v>19000</v>
      </c>
      <c r="AB141" s="258">
        <f t="shared" si="277"/>
        <v>0</v>
      </c>
      <c r="AC141" s="258">
        <f t="shared" si="277"/>
        <v>0</v>
      </c>
      <c r="AD141" s="258">
        <f t="shared" si="277"/>
        <v>0</v>
      </c>
      <c r="AE141" s="258">
        <f t="shared" si="277"/>
        <v>0</v>
      </c>
      <c r="AF141" s="258">
        <f t="shared" si="277"/>
        <v>352524</v>
      </c>
      <c r="AH141" s="258">
        <f>SUM(AH135:AH140)</f>
        <v>1292304</v>
      </c>
      <c r="AI141" s="258">
        <f t="shared" ref="AI141:AN141" si="278">SUM(AI135:AI140)</f>
        <v>40850</v>
      </c>
      <c r="AJ141" s="258">
        <f t="shared" si="278"/>
        <v>0</v>
      </c>
      <c r="AK141" s="258">
        <f t="shared" si="278"/>
        <v>0</v>
      </c>
      <c r="AL141" s="258">
        <f t="shared" si="278"/>
        <v>0</v>
      </c>
      <c r="AM141" s="258">
        <f t="shared" si="278"/>
        <v>0</v>
      </c>
      <c r="AN141" s="258">
        <f t="shared" si="278"/>
        <v>1333154</v>
      </c>
      <c r="AP141" s="258">
        <f>SUM(AP135:AP140)</f>
        <v>237818</v>
      </c>
      <c r="AQ141" s="258">
        <f t="shared" ref="AQ141:AV141" si="279">SUM(AQ135:AQ140)</f>
        <v>17760</v>
      </c>
      <c r="AR141" s="258">
        <f t="shared" si="279"/>
        <v>0</v>
      </c>
      <c r="AS141" s="258">
        <f t="shared" si="279"/>
        <v>0</v>
      </c>
      <c r="AT141" s="258">
        <f t="shared" si="279"/>
        <v>0</v>
      </c>
      <c r="AU141" s="258">
        <f t="shared" si="279"/>
        <v>0</v>
      </c>
      <c r="AV141" s="258">
        <f t="shared" si="279"/>
        <v>255578</v>
      </c>
      <c r="AX141" s="258">
        <f>SUM(AX135:AX140)</f>
        <v>111596</v>
      </c>
      <c r="AY141" s="258">
        <f t="shared" ref="AY141:BD141" si="280">SUM(AY135:AY140)</f>
        <v>3990</v>
      </c>
      <c r="AZ141" s="258">
        <f t="shared" si="280"/>
        <v>0</v>
      </c>
      <c r="BA141" s="258">
        <f t="shared" si="280"/>
        <v>0</v>
      </c>
      <c r="BB141" s="258">
        <f t="shared" si="280"/>
        <v>0</v>
      </c>
      <c r="BC141" s="258">
        <f t="shared" si="280"/>
        <v>0</v>
      </c>
      <c r="BD141" s="258">
        <f t="shared" si="280"/>
        <v>115586</v>
      </c>
      <c r="BF141" s="258">
        <f>SUM(BF135:BF140)</f>
        <v>0</v>
      </c>
      <c r="BG141" s="258">
        <f t="shared" ref="BG141:BL141" si="281">SUM(BG135:BG140)</f>
        <v>0</v>
      </c>
      <c r="BH141" s="258">
        <f t="shared" si="281"/>
        <v>0</v>
      </c>
      <c r="BI141" s="258">
        <f t="shared" si="281"/>
        <v>0</v>
      </c>
      <c r="BJ141" s="258">
        <f t="shared" si="281"/>
        <v>290000</v>
      </c>
      <c r="BK141" s="258">
        <f t="shared" si="281"/>
        <v>0</v>
      </c>
      <c r="BL141" s="258">
        <f t="shared" si="281"/>
        <v>290000</v>
      </c>
      <c r="BN141" s="258">
        <f>SUM(BN135:BN140)</f>
        <v>3770640</v>
      </c>
      <c r="BO141" s="258">
        <f t="shared" ref="BO141:BT141" si="282">SUM(BO135:BO140)</f>
        <v>172230</v>
      </c>
      <c r="BP141" s="258">
        <f t="shared" si="282"/>
        <v>0</v>
      </c>
      <c r="BQ141" s="258">
        <f t="shared" si="282"/>
        <v>0</v>
      </c>
      <c r="BR141" s="258">
        <f t="shared" si="282"/>
        <v>290000</v>
      </c>
      <c r="BS141" s="258">
        <f t="shared" si="282"/>
        <v>0</v>
      </c>
      <c r="BT141" s="258">
        <f t="shared" si="282"/>
        <v>4232870</v>
      </c>
    </row>
    <row r="142" spans="1:72" x14ac:dyDescent="0.25">
      <c r="B142" s="259"/>
      <c r="C142" s="259"/>
      <c r="D142" s="259"/>
      <c r="E142" s="259"/>
      <c r="F142" s="259"/>
      <c r="G142" s="259"/>
      <c r="H142" s="259"/>
      <c r="J142" s="259"/>
      <c r="K142" s="259"/>
      <c r="L142" s="259"/>
      <c r="M142" s="259"/>
      <c r="N142" s="259"/>
      <c r="O142" s="259"/>
      <c r="P142" s="259"/>
      <c r="R142" s="259"/>
      <c r="S142" s="259"/>
      <c r="T142" s="259"/>
      <c r="U142" s="259"/>
      <c r="V142" s="259"/>
      <c r="W142" s="259"/>
      <c r="X142" s="259"/>
      <c r="Z142" s="259"/>
      <c r="AA142" s="259"/>
      <c r="AB142" s="259"/>
      <c r="AC142" s="259"/>
      <c r="AD142" s="259"/>
      <c r="AE142" s="259"/>
      <c r="AF142" s="259"/>
      <c r="AH142" s="259"/>
      <c r="AI142" s="259"/>
      <c r="AJ142" s="259"/>
      <c r="AK142" s="259"/>
      <c r="AL142" s="259"/>
      <c r="AM142" s="259"/>
      <c r="AN142" s="259"/>
      <c r="AP142" s="259"/>
      <c r="AQ142" s="259"/>
      <c r="AR142" s="259"/>
      <c r="AS142" s="259"/>
      <c r="AT142" s="259"/>
      <c r="AU142" s="259"/>
      <c r="AV142" s="259"/>
      <c r="AX142" s="259"/>
      <c r="AY142" s="259"/>
      <c r="AZ142" s="259"/>
      <c r="BA142" s="259"/>
      <c r="BB142" s="259"/>
      <c r="BC142" s="259"/>
      <c r="BD142" s="259"/>
      <c r="BF142" s="259"/>
      <c r="BG142" s="259"/>
      <c r="BH142" s="259"/>
      <c r="BI142" s="259"/>
      <c r="BJ142" s="259"/>
      <c r="BK142" s="259"/>
      <c r="BL142" s="259"/>
      <c r="BN142" s="259"/>
      <c r="BO142" s="259"/>
      <c r="BP142" s="259"/>
      <c r="BQ142" s="259"/>
      <c r="BR142" s="259"/>
      <c r="BS142" s="259"/>
      <c r="BT142" s="259"/>
    </row>
    <row r="143" spans="1:72" x14ac:dyDescent="0.25">
      <c r="A143" s="208" t="s">
        <v>333</v>
      </c>
      <c r="B143" s="260" t="s">
        <v>309</v>
      </c>
      <c r="C143" s="260" t="s">
        <v>310</v>
      </c>
      <c r="D143" s="260" t="s">
        <v>311</v>
      </c>
      <c r="E143" s="260" t="str">
        <f>E134</f>
        <v>Other</v>
      </c>
      <c r="F143" s="260" t="s">
        <v>315</v>
      </c>
      <c r="G143" s="260" t="s">
        <v>314</v>
      </c>
      <c r="H143" s="260" t="str">
        <f>H134</f>
        <v>Horizon</v>
      </c>
      <c r="J143" s="260" t="s">
        <v>309</v>
      </c>
      <c r="K143" s="260" t="s">
        <v>310</v>
      </c>
      <c r="L143" s="260" t="s">
        <v>311</v>
      </c>
      <c r="M143" s="260" t="str">
        <f>M134</f>
        <v>Other</v>
      </c>
      <c r="N143" s="260" t="s">
        <v>315</v>
      </c>
      <c r="O143" s="260" t="s">
        <v>314</v>
      </c>
      <c r="P143" s="260" t="str">
        <f>P118</f>
        <v>Cadence</v>
      </c>
      <c r="R143" s="260" t="s">
        <v>309</v>
      </c>
      <c r="S143" s="260" t="s">
        <v>310</v>
      </c>
      <c r="T143" s="260" t="s">
        <v>311</v>
      </c>
      <c r="U143" s="260" t="str">
        <f>U134</f>
        <v>Other</v>
      </c>
      <c r="V143" s="260" t="s">
        <v>315</v>
      </c>
      <c r="W143" s="260" t="s">
        <v>314</v>
      </c>
      <c r="X143" s="260" t="str">
        <f>X134</f>
        <v>St. Rose</v>
      </c>
      <c r="Z143" s="260" t="s">
        <v>309</v>
      </c>
      <c r="AA143" s="260" t="s">
        <v>310</v>
      </c>
      <c r="AB143" s="260" t="s">
        <v>311</v>
      </c>
      <c r="AC143" s="260" t="str">
        <f>AC134</f>
        <v>Other</v>
      </c>
      <c r="AD143" s="260" t="s">
        <v>315</v>
      </c>
      <c r="AE143" s="260" t="s">
        <v>314</v>
      </c>
      <c r="AF143" s="260" t="str">
        <f>AF134</f>
        <v>Inspirada</v>
      </c>
      <c r="AH143" s="260" t="s">
        <v>309</v>
      </c>
      <c r="AI143" s="260" t="s">
        <v>310</v>
      </c>
      <c r="AJ143" s="260" t="s">
        <v>311</v>
      </c>
      <c r="AK143" s="260" t="str">
        <f>AK134</f>
        <v>Other</v>
      </c>
      <c r="AL143" s="260" t="s">
        <v>315</v>
      </c>
      <c r="AM143" s="260" t="s">
        <v>314</v>
      </c>
      <c r="AN143" s="260" t="str">
        <f>AN134</f>
        <v>Sloan</v>
      </c>
      <c r="AP143" s="260" t="s">
        <v>309</v>
      </c>
      <c r="AQ143" s="260" t="s">
        <v>310</v>
      </c>
      <c r="AR143" s="260" t="s">
        <v>311</v>
      </c>
      <c r="AS143" s="260" t="str">
        <f>AS134</f>
        <v>Other</v>
      </c>
      <c r="AT143" s="260" t="s">
        <v>315</v>
      </c>
      <c r="AU143" s="260" t="s">
        <v>314</v>
      </c>
      <c r="AV143" s="260" t="str">
        <f>AV134</f>
        <v>Springs</v>
      </c>
      <c r="AX143" s="260" t="s">
        <v>309</v>
      </c>
      <c r="AY143" s="260" t="s">
        <v>310</v>
      </c>
      <c r="AZ143" s="260" t="s">
        <v>311</v>
      </c>
      <c r="BA143" s="260" t="str">
        <f>BA134</f>
        <v>Other</v>
      </c>
      <c r="BB143" s="260" t="s">
        <v>315</v>
      </c>
      <c r="BC143" s="260" t="s">
        <v>314</v>
      </c>
      <c r="BD143" s="260" t="str">
        <f>BD134</f>
        <v>Virtual</v>
      </c>
      <c r="BF143" s="260" t="s">
        <v>309</v>
      </c>
      <c r="BG143" s="260" t="s">
        <v>310</v>
      </c>
      <c r="BH143" s="260" t="s">
        <v>311</v>
      </c>
      <c r="BI143" s="260" t="str">
        <f>BI134</f>
        <v>Other</v>
      </c>
      <c r="BJ143" s="260" t="s">
        <v>315</v>
      </c>
      <c r="BK143" s="260" t="s">
        <v>314</v>
      </c>
      <c r="BL143" s="260" t="str">
        <f>BL134</f>
        <v>Central</v>
      </c>
      <c r="BN143" s="260" t="s">
        <v>309</v>
      </c>
      <c r="BO143" s="260" t="s">
        <v>310</v>
      </c>
      <c r="BP143" s="260" t="s">
        <v>311</v>
      </c>
      <c r="BQ143" s="260" t="str">
        <f>BQ134</f>
        <v>Other</v>
      </c>
      <c r="BR143" s="260" t="s">
        <v>315</v>
      </c>
      <c r="BS143" s="260" t="s">
        <v>314</v>
      </c>
      <c r="BT143" s="260" t="str">
        <f>BT134</f>
        <v>System</v>
      </c>
    </row>
    <row r="144" spans="1:72" x14ac:dyDescent="0.25">
      <c r="A144" s="214" t="s">
        <v>258</v>
      </c>
      <c r="B144" s="257">
        <f>33*B17</f>
        <v>30591</v>
      </c>
      <c r="C144" s="257"/>
      <c r="D144" s="257"/>
      <c r="E144" s="257"/>
      <c r="F144" s="257"/>
      <c r="G144" s="257"/>
      <c r="H144" s="241">
        <f>SUM(B144:G144)</f>
        <v>30591</v>
      </c>
      <c r="J144" s="257">
        <f>33*J17</f>
        <v>82962</v>
      </c>
      <c r="K144" s="257"/>
      <c r="L144" s="257"/>
      <c r="M144" s="257"/>
      <c r="N144" s="257"/>
      <c r="O144" s="257"/>
      <c r="P144" s="241">
        <f>SUM(J144:O144)</f>
        <v>82962</v>
      </c>
      <c r="R144" s="257">
        <f>33*R17</f>
        <v>33990</v>
      </c>
      <c r="S144" s="257"/>
      <c r="T144" s="257"/>
      <c r="U144" s="257"/>
      <c r="V144" s="257"/>
      <c r="W144" s="257"/>
      <c r="X144" s="241">
        <f>SUM(R144:W144)</f>
        <v>33990</v>
      </c>
      <c r="Z144" s="257">
        <f>33*Z17</f>
        <v>39534</v>
      </c>
      <c r="AA144" s="257"/>
      <c r="AB144" s="257"/>
      <c r="AC144" s="257"/>
      <c r="AD144" s="257"/>
      <c r="AE144" s="257"/>
      <c r="AF144" s="241">
        <f>SUM(Z144:AE144)</f>
        <v>39534</v>
      </c>
      <c r="AH144" s="257">
        <f>33*AH17</f>
        <v>82764</v>
      </c>
      <c r="AI144" s="257"/>
      <c r="AJ144" s="257"/>
      <c r="AK144" s="257"/>
      <c r="AL144" s="257"/>
      <c r="AM144" s="257"/>
      <c r="AN144" s="241">
        <f>SUM(AH144:AM144)</f>
        <v>82764</v>
      </c>
      <c r="AP144" s="257">
        <f>32*AP17</f>
        <v>29248</v>
      </c>
      <c r="AQ144" s="257"/>
      <c r="AR144" s="257"/>
      <c r="AS144" s="257"/>
      <c r="AT144" s="257"/>
      <c r="AU144" s="257"/>
      <c r="AV144" s="241">
        <f>SUM(AP144:AU144)</f>
        <v>29248</v>
      </c>
      <c r="AX144" s="257">
        <f>23*AX17</f>
        <v>4186</v>
      </c>
      <c r="AY144" s="257"/>
      <c r="AZ144" s="257"/>
      <c r="BA144" s="257"/>
      <c r="BB144" s="257"/>
      <c r="BC144" s="257"/>
      <c r="BD144" s="241">
        <f>SUM(AX144:BC144)</f>
        <v>4186</v>
      </c>
      <c r="BF144" s="257"/>
      <c r="BG144" s="257"/>
      <c r="BH144" s="257"/>
      <c r="BI144" s="257"/>
      <c r="BJ144" s="257"/>
      <c r="BK144" s="257"/>
      <c r="BL144" s="241">
        <f>SUM(BF144:BK144)</f>
        <v>0</v>
      </c>
      <c r="BN144" s="241">
        <f>B144+J144+R144+Z144+AH144+AP144+AX144+BF144</f>
        <v>303275</v>
      </c>
      <c r="BO144" s="241">
        <f t="shared" ref="BO144:BS148" si="283">C144+K144+S144+AA144+AI144+AQ144+AY144+BG144</f>
        <v>0</v>
      </c>
      <c r="BP144" s="241">
        <f t="shared" si="283"/>
        <v>0</v>
      </c>
      <c r="BQ144" s="241">
        <f t="shared" si="283"/>
        <v>0</v>
      </c>
      <c r="BR144" s="241">
        <f t="shared" si="283"/>
        <v>0</v>
      </c>
      <c r="BS144" s="241">
        <f t="shared" si="283"/>
        <v>0</v>
      </c>
      <c r="BT144" s="241">
        <f>SUM(BN144:BS144)</f>
        <v>303275</v>
      </c>
    </row>
    <row r="145" spans="1:72" x14ac:dyDescent="0.25">
      <c r="A145" s="211" t="s">
        <v>256</v>
      </c>
      <c r="B145" s="244">
        <f>(28*B17)</f>
        <v>25956</v>
      </c>
      <c r="C145" s="244"/>
      <c r="D145" s="244"/>
      <c r="E145" s="244"/>
      <c r="F145" s="244"/>
      <c r="G145" s="244"/>
      <c r="H145" s="241">
        <f t="shared" ref="H145:H148" si="284">SUM(B145:G145)</f>
        <v>25956</v>
      </c>
      <c r="J145" s="244">
        <f>(28*J17)</f>
        <v>70392</v>
      </c>
      <c r="K145" s="244"/>
      <c r="L145" s="244"/>
      <c r="M145" s="244"/>
      <c r="N145" s="244"/>
      <c r="O145" s="244"/>
      <c r="P145" s="241">
        <f t="shared" ref="P145:P148" si="285">SUM(J145:O145)</f>
        <v>70392</v>
      </c>
      <c r="R145" s="244">
        <f>(28*R17)</f>
        <v>28840</v>
      </c>
      <c r="S145" s="244"/>
      <c r="T145" s="244"/>
      <c r="U145" s="244"/>
      <c r="V145" s="244"/>
      <c r="W145" s="244"/>
      <c r="X145" s="241">
        <f t="shared" ref="X145:X148" si="286">SUM(R145:W145)</f>
        <v>28840</v>
      </c>
      <c r="Z145" s="244">
        <f>(28*Z17)</f>
        <v>33544</v>
      </c>
      <c r="AA145" s="244"/>
      <c r="AB145" s="244"/>
      <c r="AC145" s="244"/>
      <c r="AD145" s="244"/>
      <c r="AE145" s="244"/>
      <c r="AF145" s="241">
        <f t="shared" ref="AF145:AF148" si="287">SUM(Z145:AE145)</f>
        <v>33544</v>
      </c>
      <c r="AH145" s="244">
        <f>(28*AH17)</f>
        <v>70224</v>
      </c>
      <c r="AI145" s="244"/>
      <c r="AJ145" s="244"/>
      <c r="AK145" s="244"/>
      <c r="AL145" s="244"/>
      <c r="AM145" s="244"/>
      <c r="AN145" s="241">
        <f t="shared" ref="AN145:AN148" si="288">SUM(AH145:AM145)</f>
        <v>70224</v>
      </c>
      <c r="AP145" s="244">
        <f>(27*AP17)</f>
        <v>24678</v>
      </c>
      <c r="AQ145" s="244"/>
      <c r="AR145" s="244"/>
      <c r="AS145" s="244"/>
      <c r="AT145" s="244"/>
      <c r="AU145" s="244"/>
      <c r="AV145" s="241">
        <f t="shared" ref="AV145:AV148" si="289">SUM(AP145:AU145)</f>
        <v>24678</v>
      </c>
      <c r="AX145" s="244">
        <f>(28*AX17)</f>
        <v>5096</v>
      </c>
      <c r="AY145" s="244"/>
      <c r="AZ145" s="244"/>
      <c r="BA145" s="244"/>
      <c r="BB145" s="244"/>
      <c r="BC145" s="244"/>
      <c r="BD145" s="241">
        <f t="shared" ref="BD145:BD148" si="290">SUM(AX145:BC145)</f>
        <v>5096</v>
      </c>
      <c r="BF145" s="244">
        <f>(3*BF17)</f>
        <v>0</v>
      </c>
      <c r="BG145" s="244"/>
      <c r="BH145" s="244"/>
      <c r="BI145" s="244"/>
      <c r="BJ145" s="244"/>
      <c r="BK145" s="244"/>
      <c r="BL145" s="241">
        <f t="shared" ref="BL145:BL148" si="291">SUM(BF145:BK145)</f>
        <v>0</v>
      </c>
      <c r="BN145" s="241">
        <f t="shared" ref="BN145:BN148" si="292">B145+J145+R145+Z145+AH145+AP145+AX145+BF145</f>
        <v>258730</v>
      </c>
      <c r="BO145" s="241">
        <f t="shared" si="283"/>
        <v>0</v>
      </c>
      <c r="BP145" s="241">
        <f t="shared" si="283"/>
        <v>0</v>
      </c>
      <c r="BQ145" s="241">
        <f t="shared" si="283"/>
        <v>0</v>
      </c>
      <c r="BR145" s="241">
        <f t="shared" si="283"/>
        <v>0</v>
      </c>
      <c r="BS145" s="241">
        <f t="shared" si="283"/>
        <v>0</v>
      </c>
      <c r="BT145" s="241">
        <f t="shared" ref="BT145:BT148" si="293">SUM(BN145:BS145)</f>
        <v>258730</v>
      </c>
    </row>
    <row r="146" spans="1:72" x14ac:dyDescent="0.25">
      <c r="A146" s="211" t="s">
        <v>259</v>
      </c>
      <c r="B146" s="244">
        <f>8.75*B17</f>
        <v>8111.25</v>
      </c>
      <c r="C146" s="244"/>
      <c r="D146" s="244"/>
      <c r="E146" s="244"/>
      <c r="F146" s="244"/>
      <c r="G146" s="244"/>
      <c r="H146" s="241">
        <f t="shared" si="284"/>
        <v>8111.25</v>
      </c>
      <c r="J146" s="244">
        <f>8.75*J17</f>
        <v>21997.5</v>
      </c>
      <c r="K146" s="244"/>
      <c r="L146" s="244"/>
      <c r="M146" s="244"/>
      <c r="N146" s="244"/>
      <c r="O146" s="244"/>
      <c r="P146" s="241">
        <f t="shared" si="285"/>
        <v>21997.5</v>
      </c>
      <c r="R146" s="244">
        <f>8.75*R17</f>
        <v>9012.5</v>
      </c>
      <c r="S146" s="244"/>
      <c r="T146" s="244"/>
      <c r="U146" s="244"/>
      <c r="V146" s="244"/>
      <c r="W146" s="244"/>
      <c r="X146" s="241">
        <f t="shared" si="286"/>
        <v>9012.5</v>
      </c>
      <c r="Z146" s="244">
        <f>8.75*Z17</f>
        <v>10482.5</v>
      </c>
      <c r="AA146" s="244"/>
      <c r="AB146" s="244"/>
      <c r="AC146" s="244"/>
      <c r="AD146" s="244"/>
      <c r="AE146" s="244"/>
      <c r="AF146" s="241">
        <f t="shared" si="287"/>
        <v>10482.5</v>
      </c>
      <c r="AH146" s="244">
        <f>8.75*AH17</f>
        <v>21945</v>
      </c>
      <c r="AI146" s="244"/>
      <c r="AJ146" s="244"/>
      <c r="AK146" s="244"/>
      <c r="AL146" s="244"/>
      <c r="AM146" s="244"/>
      <c r="AN146" s="241">
        <f t="shared" si="288"/>
        <v>21945</v>
      </c>
      <c r="AP146" s="244">
        <f>8.75*AP17</f>
        <v>7997.5</v>
      </c>
      <c r="AQ146" s="244"/>
      <c r="AR146" s="244"/>
      <c r="AS146" s="244"/>
      <c r="AT146" s="244"/>
      <c r="AU146" s="244"/>
      <c r="AV146" s="241">
        <f t="shared" si="289"/>
        <v>7997.5</v>
      </c>
      <c r="AX146" s="244">
        <v>0</v>
      </c>
      <c r="AY146" s="244"/>
      <c r="AZ146" s="244"/>
      <c r="BA146" s="244"/>
      <c r="BB146" s="244"/>
      <c r="BC146" s="244"/>
      <c r="BD146" s="241">
        <f t="shared" si="290"/>
        <v>0</v>
      </c>
      <c r="BF146" s="244">
        <f>8*BF17</f>
        <v>0</v>
      </c>
      <c r="BG146" s="244"/>
      <c r="BH146" s="244"/>
      <c r="BI146" s="244"/>
      <c r="BJ146" s="244"/>
      <c r="BK146" s="244"/>
      <c r="BL146" s="241">
        <f t="shared" si="291"/>
        <v>0</v>
      </c>
      <c r="BN146" s="241">
        <f t="shared" si="292"/>
        <v>79546.25</v>
      </c>
      <c r="BO146" s="241">
        <f t="shared" si="283"/>
        <v>0</v>
      </c>
      <c r="BP146" s="241">
        <f t="shared" si="283"/>
        <v>0</v>
      </c>
      <c r="BQ146" s="241">
        <f t="shared" si="283"/>
        <v>0</v>
      </c>
      <c r="BR146" s="241">
        <f t="shared" si="283"/>
        <v>0</v>
      </c>
      <c r="BS146" s="241">
        <f t="shared" si="283"/>
        <v>0</v>
      </c>
      <c r="BT146" s="241">
        <f t="shared" si="293"/>
        <v>79546.25</v>
      </c>
    </row>
    <row r="147" spans="1:72" x14ac:dyDescent="0.25">
      <c r="A147" s="211" t="s">
        <v>260</v>
      </c>
      <c r="B147" s="244"/>
      <c r="C147" s="244"/>
      <c r="D147" s="244"/>
      <c r="E147" s="244"/>
      <c r="F147" s="244"/>
      <c r="G147" s="244"/>
      <c r="H147" s="241">
        <f t="shared" si="284"/>
        <v>0</v>
      </c>
      <c r="J147" s="244">
        <v>150000</v>
      </c>
      <c r="K147" s="244"/>
      <c r="L147" s="244"/>
      <c r="M147" s="244"/>
      <c r="N147" s="244"/>
      <c r="O147" s="244"/>
      <c r="P147" s="241">
        <f t="shared" si="285"/>
        <v>150000</v>
      </c>
      <c r="R147" s="244"/>
      <c r="S147" s="244"/>
      <c r="T147" s="244"/>
      <c r="U147" s="244"/>
      <c r="V147" s="244"/>
      <c r="W147" s="244"/>
      <c r="X147" s="241">
        <f t="shared" si="286"/>
        <v>0</v>
      </c>
      <c r="Z147" s="244"/>
      <c r="AA147" s="244"/>
      <c r="AB147" s="244"/>
      <c r="AC147" s="244"/>
      <c r="AD147" s="244"/>
      <c r="AE147" s="244"/>
      <c r="AF147" s="241">
        <f t="shared" si="287"/>
        <v>0</v>
      </c>
      <c r="AH147" s="244">
        <v>170000</v>
      </c>
      <c r="AI147" s="244"/>
      <c r="AJ147" s="244"/>
      <c r="AK147" s="244"/>
      <c r="AL147" s="244"/>
      <c r="AM147" s="244"/>
      <c r="AN147" s="241">
        <f t="shared" si="288"/>
        <v>170000</v>
      </c>
      <c r="AP147" s="244"/>
      <c r="AQ147" s="244"/>
      <c r="AR147" s="244"/>
      <c r="AS147" s="244"/>
      <c r="AT147" s="244"/>
      <c r="AU147" s="244"/>
      <c r="AV147" s="241">
        <f t="shared" si="289"/>
        <v>0</v>
      </c>
      <c r="AX147" s="242"/>
      <c r="AY147" s="244"/>
      <c r="AZ147" s="244"/>
      <c r="BA147" s="244"/>
      <c r="BB147" s="244"/>
      <c r="BC147" s="244"/>
      <c r="BD147" s="241">
        <f t="shared" si="290"/>
        <v>0</v>
      </c>
      <c r="BF147" s="244"/>
      <c r="BG147" s="244"/>
      <c r="BH147" s="244"/>
      <c r="BI147" s="244"/>
      <c r="BJ147" s="244"/>
      <c r="BK147" s="244"/>
      <c r="BL147" s="241">
        <f t="shared" si="291"/>
        <v>0</v>
      </c>
      <c r="BN147" s="241">
        <f t="shared" si="292"/>
        <v>320000</v>
      </c>
      <c r="BO147" s="241">
        <f t="shared" si="283"/>
        <v>0</v>
      </c>
      <c r="BP147" s="241">
        <f t="shared" si="283"/>
        <v>0</v>
      </c>
      <c r="BQ147" s="241">
        <f t="shared" si="283"/>
        <v>0</v>
      </c>
      <c r="BR147" s="241">
        <f t="shared" si="283"/>
        <v>0</v>
      </c>
      <c r="BS147" s="241">
        <f t="shared" si="283"/>
        <v>0</v>
      </c>
      <c r="BT147" s="241">
        <f t="shared" si="293"/>
        <v>320000</v>
      </c>
    </row>
    <row r="148" spans="1:72" x14ac:dyDescent="0.25">
      <c r="A148" s="212" t="s">
        <v>261</v>
      </c>
      <c r="B148" s="245">
        <f>58*B17</f>
        <v>53766</v>
      </c>
      <c r="C148" s="245"/>
      <c r="D148" s="245"/>
      <c r="E148" s="245"/>
      <c r="F148" s="245"/>
      <c r="G148" s="245"/>
      <c r="H148" s="241">
        <f t="shared" si="284"/>
        <v>53766</v>
      </c>
      <c r="J148" s="245">
        <f>55*J17</f>
        <v>138270</v>
      </c>
      <c r="K148" s="245"/>
      <c r="L148" s="245"/>
      <c r="M148" s="245"/>
      <c r="N148" s="245"/>
      <c r="O148" s="245"/>
      <c r="P148" s="241">
        <f t="shared" si="285"/>
        <v>138270</v>
      </c>
      <c r="R148" s="245">
        <f>43*R17</f>
        <v>44290</v>
      </c>
      <c r="S148" s="245"/>
      <c r="T148" s="245"/>
      <c r="U148" s="245"/>
      <c r="V148" s="245"/>
      <c r="W148" s="245"/>
      <c r="X148" s="241">
        <f t="shared" si="286"/>
        <v>44290</v>
      </c>
      <c r="Z148" s="245">
        <f>43*Z17</f>
        <v>51514</v>
      </c>
      <c r="AA148" s="245"/>
      <c r="AB148" s="245"/>
      <c r="AC148" s="245"/>
      <c r="AD148" s="245"/>
      <c r="AE148" s="245"/>
      <c r="AF148" s="241">
        <f t="shared" si="287"/>
        <v>51514</v>
      </c>
      <c r="AH148" s="245">
        <f>73*AH17</f>
        <v>183084</v>
      </c>
      <c r="AI148" s="245"/>
      <c r="AJ148" s="245"/>
      <c r="AK148" s="245"/>
      <c r="AL148" s="245"/>
      <c r="AM148" s="245"/>
      <c r="AN148" s="241">
        <f t="shared" si="288"/>
        <v>183084</v>
      </c>
      <c r="AP148" s="245">
        <f>54*AP17</f>
        <v>49356</v>
      </c>
      <c r="AQ148" s="245"/>
      <c r="AR148" s="245"/>
      <c r="AS148" s="245"/>
      <c r="AT148" s="245"/>
      <c r="AU148" s="245"/>
      <c r="AV148" s="241">
        <f t="shared" si="289"/>
        <v>49356</v>
      </c>
      <c r="AX148" s="245">
        <v>0</v>
      </c>
      <c r="AY148" s="245"/>
      <c r="AZ148" s="245"/>
      <c r="BA148" s="245"/>
      <c r="BB148" s="245"/>
      <c r="BC148" s="245"/>
      <c r="BD148" s="241">
        <f t="shared" si="290"/>
        <v>0</v>
      </c>
      <c r="BF148" s="245">
        <f>50*BF17</f>
        <v>0</v>
      </c>
      <c r="BG148" s="245"/>
      <c r="BH148" s="245"/>
      <c r="BI148" s="245"/>
      <c r="BJ148" s="245"/>
      <c r="BK148" s="245"/>
      <c r="BL148" s="241">
        <f t="shared" si="291"/>
        <v>0</v>
      </c>
      <c r="BN148" s="241">
        <f t="shared" si="292"/>
        <v>520280</v>
      </c>
      <c r="BO148" s="241">
        <f t="shared" si="283"/>
        <v>0</v>
      </c>
      <c r="BP148" s="241">
        <f t="shared" si="283"/>
        <v>0</v>
      </c>
      <c r="BQ148" s="241">
        <f t="shared" si="283"/>
        <v>0</v>
      </c>
      <c r="BR148" s="241">
        <f t="shared" si="283"/>
        <v>0</v>
      </c>
      <c r="BS148" s="241">
        <f t="shared" si="283"/>
        <v>0</v>
      </c>
      <c r="BT148" s="241">
        <f t="shared" si="293"/>
        <v>520280</v>
      </c>
    </row>
    <row r="149" spans="1:72" x14ac:dyDescent="0.25">
      <c r="A149" s="213"/>
      <c r="B149" s="258">
        <f>SUM(B144:B148)</f>
        <v>118424.25</v>
      </c>
      <c r="C149" s="258">
        <f t="shared" ref="C149:H149" si="294">SUM(C144:C148)</f>
        <v>0</v>
      </c>
      <c r="D149" s="258">
        <f t="shared" si="294"/>
        <v>0</v>
      </c>
      <c r="E149" s="258">
        <f t="shared" si="294"/>
        <v>0</v>
      </c>
      <c r="F149" s="258">
        <f t="shared" si="294"/>
        <v>0</v>
      </c>
      <c r="G149" s="258">
        <f t="shared" si="294"/>
        <v>0</v>
      </c>
      <c r="H149" s="258">
        <f t="shared" si="294"/>
        <v>118424.25</v>
      </c>
      <c r="J149" s="258">
        <f>SUM(J144:J148)</f>
        <v>463621.5</v>
      </c>
      <c r="K149" s="258">
        <f t="shared" ref="K149:P149" si="295">SUM(K144:K148)</f>
        <v>0</v>
      </c>
      <c r="L149" s="258">
        <f t="shared" si="295"/>
        <v>0</v>
      </c>
      <c r="M149" s="258">
        <f t="shared" si="295"/>
        <v>0</v>
      </c>
      <c r="N149" s="258">
        <f t="shared" si="295"/>
        <v>0</v>
      </c>
      <c r="O149" s="258">
        <f t="shared" si="295"/>
        <v>0</v>
      </c>
      <c r="P149" s="258">
        <f t="shared" si="295"/>
        <v>463621.5</v>
      </c>
      <c r="R149" s="258">
        <f>SUM(R144:R148)</f>
        <v>116132.5</v>
      </c>
      <c r="S149" s="258">
        <f t="shared" ref="S149:X149" si="296">SUM(S144:S148)</f>
        <v>0</v>
      </c>
      <c r="T149" s="258">
        <f t="shared" si="296"/>
        <v>0</v>
      </c>
      <c r="U149" s="258">
        <f t="shared" si="296"/>
        <v>0</v>
      </c>
      <c r="V149" s="258">
        <f t="shared" si="296"/>
        <v>0</v>
      </c>
      <c r="W149" s="258">
        <f t="shared" si="296"/>
        <v>0</v>
      </c>
      <c r="X149" s="258">
        <f t="shared" si="296"/>
        <v>116132.5</v>
      </c>
      <c r="Z149" s="258">
        <f>SUM(Z144:Z148)</f>
        <v>135074.5</v>
      </c>
      <c r="AA149" s="258">
        <f t="shared" ref="AA149:AF149" si="297">SUM(AA144:AA148)</f>
        <v>0</v>
      </c>
      <c r="AB149" s="258">
        <f t="shared" si="297"/>
        <v>0</v>
      </c>
      <c r="AC149" s="258">
        <f t="shared" si="297"/>
        <v>0</v>
      </c>
      <c r="AD149" s="258">
        <f t="shared" si="297"/>
        <v>0</v>
      </c>
      <c r="AE149" s="258">
        <f t="shared" si="297"/>
        <v>0</v>
      </c>
      <c r="AF149" s="258">
        <f t="shared" si="297"/>
        <v>135074.5</v>
      </c>
      <c r="AH149" s="258">
        <f>SUM(AH144:AH148)</f>
        <v>528017</v>
      </c>
      <c r="AI149" s="258">
        <f t="shared" ref="AI149:AN149" si="298">SUM(AI144:AI148)</f>
        <v>0</v>
      </c>
      <c r="AJ149" s="258">
        <f t="shared" si="298"/>
        <v>0</v>
      </c>
      <c r="AK149" s="258">
        <f t="shared" si="298"/>
        <v>0</v>
      </c>
      <c r="AL149" s="258">
        <f t="shared" si="298"/>
        <v>0</v>
      </c>
      <c r="AM149" s="258">
        <f t="shared" si="298"/>
        <v>0</v>
      </c>
      <c r="AN149" s="258">
        <f t="shared" si="298"/>
        <v>528017</v>
      </c>
      <c r="AP149" s="258">
        <f>SUM(AP144:AP148)</f>
        <v>111279.5</v>
      </c>
      <c r="AQ149" s="258">
        <f t="shared" ref="AQ149:AV149" si="299">SUM(AQ144:AQ148)</f>
        <v>0</v>
      </c>
      <c r="AR149" s="258">
        <f t="shared" si="299"/>
        <v>0</v>
      </c>
      <c r="AS149" s="258">
        <f t="shared" si="299"/>
        <v>0</v>
      </c>
      <c r="AT149" s="258">
        <f t="shared" si="299"/>
        <v>0</v>
      </c>
      <c r="AU149" s="258">
        <f t="shared" si="299"/>
        <v>0</v>
      </c>
      <c r="AV149" s="258">
        <f t="shared" si="299"/>
        <v>111279.5</v>
      </c>
      <c r="AX149" s="258">
        <f>SUM(AX144:AX148)</f>
        <v>9282</v>
      </c>
      <c r="AY149" s="258">
        <f t="shared" ref="AY149:BD149" si="300">SUM(AY144:AY148)</f>
        <v>0</v>
      </c>
      <c r="AZ149" s="258">
        <f t="shared" si="300"/>
        <v>0</v>
      </c>
      <c r="BA149" s="258">
        <f t="shared" si="300"/>
        <v>0</v>
      </c>
      <c r="BB149" s="258">
        <f t="shared" si="300"/>
        <v>0</v>
      </c>
      <c r="BC149" s="258">
        <f t="shared" si="300"/>
        <v>0</v>
      </c>
      <c r="BD149" s="258">
        <f t="shared" si="300"/>
        <v>9282</v>
      </c>
      <c r="BF149" s="258">
        <f>SUM(BF144:BF148)</f>
        <v>0</v>
      </c>
      <c r="BG149" s="258">
        <f t="shared" ref="BG149:BL149" si="301">SUM(BG144:BG148)</f>
        <v>0</v>
      </c>
      <c r="BH149" s="258">
        <f t="shared" si="301"/>
        <v>0</v>
      </c>
      <c r="BI149" s="258">
        <f t="shared" si="301"/>
        <v>0</v>
      </c>
      <c r="BJ149" s="258">
        <f t="shared" si="301"/>
        <v>0</v>
      </c>
      <c r="BK149" s="258">
        <f t="shared" si="301"/>
        <v>0</v>
      </c>
      <c r="BL149" s="258">
        <f t="shared" si="301"/>
        <v>0</v>
      </c>
      <c r="BN149" s="258">
        <f>SUM(BN144:BN148)</f>
        <v>1481831.25</v>
      </c>
      <c r="BO149" s="258">
        <f t="shared" ref="BO149:BT149" si="302">SUM(BO144:BO148)</f>
        <v>0</v>
      </c>
      <c r="BP149" s="258">
        <f t="shared" si="302"/>
        <v>0</v>
      </c>
      <c r="BQ149" s="258">
        <f t="shared" si="302"/>
        <v>0</v>
      </c>
      <c r="BR149" s="258">
        <f t="shared" si="302"/>
        <v>0</v>
      </c>
      <c r="BS149" s="258">
        <f t="shared" si="302"/>
        <v>0</v>
      </c>
      <c r="BT149" s="258">
        <f t="shared" si="302"/>
        <v>1481831.25</v>
      </c>
    </row>
    <row r="150" spans="1:72" x14ac:dyDescent="0.25">
      <c r="B150" s="259"/>
      <c r="C150" s="259"/>
      <c r="D150" s="259"/>
      <c r="E150" s="259"/>
      <c r="F150" s="259"/>
      <c r="G150" s="259"/>
      <c r="H150" s="259"/>
      <c r="J150" s="259"/>
      <c r="K150" s="259"/>
      <c r="L150" s="259"/>
      <c r="M150" s="259"/>
      <c r="N150" s="259"/>
      <c r="O150" s="259"/>
      <c r="P150" s="259"/>
      <c r="R150" s="259"/>
      <c r="S150" s="259"/>
      <c r="T150" s="259"/>
      <c r="U150" s="259"/>
      <c r="V150" s="259"/>
      <c r="W150" s="259"/>
      <c r="X150" s="259"/>
      <c r="Z150" s="259"/>
      <c r="AA150" s="259"/>
      <c r="AB150" s="259"/>
      <c r="AC150" s="259"/>
      <c r="AD150" s="259"/>
      <c r="AE150" s="259"/>
      <c r="AF150" s="259"/>
      <c r="AH150" s="259"/>
      <c r="AI150" s="259"/>
      <c r="AJ150" s="259"/>
      <c r="AK150" s="259"/>
      <c r="AL150" s="259"/>
      <c r="AM150" s="259"/>
      <c r="AN150" s="259"/>
      <c r="AP150" s="259"/>
      <c r="AQ150" s="259"/>
      <c r="AR150" s="259"/>
      <c r="AS150" s="259"/>
      <c r="AT150" s="259"/>
      <c r="AU150" s="259"/>
      <c r="AV150" s="259"/>
      <c r="AX150" s="259"/>
      <c r="AY150" s="259"/>
      <c r="AZ150" s="259"/>
      <c r="BA150" s="259"/>
      <c r="BB150" s="259"/>
      <c r="BC150" s="259"/>
      <c r="BD150" s="259"/>
      <c r="BF150" s="259"/>
      <c r="BG150" s="259"/>
      <c r="BH150" s="259"/>
      <c r="BI150" s="259"/>
      <c r="BJ150" s="259"/>
      <c r="BK150" s="259"/>
      <c r="BL150" s="259"/>
      <c r="BN150" s="259"/>
      <c r="BO150" s="259"/>
      <c r="BP150" s="259"/>
      <c r="BQ150" s="259"/>
      <c r="BR150" s="259"/>
      <c r="BS150" s="259"/>
      <c r="BT150" s="259"/>
    </row>
    <row r="151" spans="1:72" x14ac:dyDescent="0.25">
      <c r="A151" s="208" t="s">
        <v>334</v>
      </c>
      <c r="B151" s="260" t="s">
        <v>309</v>
      </c>
      <c r="C151" s="260" t="s">
        <v>310</v>
      </c>
      <c r="D151" s="260" t="s">
        <v>311</v>
      </c>
      <c r="E151" s="260" t="str">
        <f>E134</f>
        <v>Other</v>
      </c>
      <c r="F151" s="260" t="s">
        <v>315</v>
      </c>
      <c r="G151" s="260" t="s">
        <v>314</v>
      </c>
      <c r="H151" s="260" t="str">
        <f>H143</f>
        <v>Horizon</v>
      </c>
      <c r="J151" s="260" t="s">
        <v>309</v>
      </c>
      <c r="K151" s="260" t="s">
        <v>310</v>
      </c>
      <c r="L151" s="260" t="s">
        <v>311</v>
      </c>
      <c r="M151" s="260" t="str">
        <f>M134</f>
        <v>Other</v>
      </c>
      <c r="N151" s="260" t="s">
        <v>315</v>
      </c>
      <c r="O151" s="260" t="s">
        <v>314</v>
      </c>
      <c r="P151" s="260" t="str">
        <f>P143</f>
        <v>Cadence</v>
      </c>
      <c r="R151" s="260" t="s">
        <v>309</v>
      </c>
      <c r="S151" s="260" t="s">
        <v>310</v>
      </c>
      <c r="T151" s="260" t="s">
        <v>311</v>
      </c>
      <c r="U151" s="260" t="str">
        <f>U134</f>
        <v>Other</v>
      </c>
      <c r="V151" s="260" t="s">
        <v>315</v>
      </c>
      <c r="W151" s="260" t="s">
        <v>314</v>
      </c>
      <c r="X151" s="260" t="str">
        <f>X143</f>
        <v>St. Rose</v>
      </c>
      <c r="Z151" s="260" t="s">
        <v>309</v>
      </c>
      <c r="AA151" s="260" t="s">
        <v>310</v>
      </c>
      <c r="AB151" s="260" t="s">
        <v>311</v>
      </c>
      <c r="AC151" s="260" t="str">
        <f>AC134</f>
        <v>Other</v>
      </c>
      <c r="AD151" s="260" t="s">
        <v>315</v>
      </c>
      <c r="AE151" s="260" t="s">
        <v>314</v>
      </c>
      <c r="AF151" s="260" t="str">
        <f>AF143</f>
        <v>Inspirada</v>
      </c>
      <c r="AH151" s="260" t="s">
        <v>309</v>
      </c>
      <c r="AI151" s="260" t="s">
        <v>310</v>
      </c>
      <c r="AJ151" s="260" t="s">
        <v>311</v>
      </c>
      <c r="AK151" s="260" t="str">
        <f>AK134</f>
        <v>Other</v>
      </c>
      <c r="AL151" s="260" t="s">
        <v>315</v>
      </c>
      <c r="AM151" s="260" t="s">
        <v>314</v>
      </c>
      <c r="AN151" s="260" t="str">
        <f>AN143</f>
        <v>Sloan</v>
      </c>
      <c r="AP151" s="260" t="s">
        <v>309</v>
      </c>
      <c r="AQ151" s="260" t="s">
        <v>310</v>
      </c>
      <c r="AR151" s="260" t="s">
        <v>311</v>
      </c>
      <c r="AS151" s="260" t="str">
        <f>AS134</f>
        <v>Other</v>
      </c>
      <c r="AT151" s="260" t="s">
        <v>315</v>
      </c>
      <c r="AU151" s="260" t="s">
        <v>314</v>
      </c>
      <c r="AV151" s="260" t="str">
        <f>AV143</f>
        <v>Springs</v>
      </c>
      <c r="AX151" s="260" t="s">
        <v>309</v>
      </c>
      <c r="AY151" s="260" t="s">
        <v>310</v>
      </c>
      <c r="AZ151" s="260" t="s">
        <v>311</v>
      </c>
      <c r="BA151" s="260" t="str">
        <f>BA134</f>
        <v>Other</v>
      </c>
      <c r="BB151" s="260" t="s">
        <v>315</v>
      </c>
      <c r="BC151" s="260" t="s">
        <v>314</v>
      </c>
      <c r="BD151" s="260" t="str">
        <f>BD143</f>
        <v>Virtual</v>
      </c>
      <c r="BF151" s="260" t="s">
        <v>309</v>
      </c>
      <c r="BG151" s="260" t="s">
        <v>310</v>
      </c>
      <c r="BH151" s="260" t="s">
        <v>311</v>
      </c>
      <c r="BI151" s="260" t="str">
        <f>BI134</f>
        <v>Other</v>
      </c>
      <c r="BJ151" s="260" t="s">
        <v>315</v>
      </c>
      <c r="BK151" s="260" t="s">
        <v>314</v>
      </c>
      <c r="BL151" s="260" t="str">
        <f>BL143</f>
        <v>Central</v>
      </c>
      <c r="BN151" s="260" t="s">
        <v>309</v>
      </c>
      <c r="BO151" s="260" t="s">
        <v>310</v>
      </c>
      <c r="BP151" s="260" t="s">
        <v>311</v>
      </c>
      <c r="BQ151" s="260" t="str">
        <f>BQ134</f>
        <v>Other</v>
      </c>
      <c r="BR151" s="260" t="s">
        <v>315</v>
      </c>
      <c r="BS151" s="260" t="s">
        <v>314</v>
      </c>
      <c r="BT151" s="260" t="str">
        <f>BT143</f>
        <v>System</v>
      </c>
    </row>
    <row r="152" spans="1:72" x14ac:dyDescent="0.25">
      <c r="A152" s="214" t="s">
        <v>262</v>
      </c>
      <c r="B152" s="257">
        <f>8500*1.03*1.02*1.02</f>
        <v>9108.7020000000011</v>
      </c>
      <c r="C152" s="257"/>
      <c r="D152" s="257"/>
      <c r="E152" s="257"/>
      <c r="F152" s="257"/>
      <c r="G152" s="257"/>
      <c r="H152" s="257">
        <f>SUM(B152:G152)</f>
        <v>9108.7020000000011</v>
      </c>
      <c r="J152" s="257">
        <f>((6500*3)+3000)*1.03*1.03*1.03</f>
        <v>24586.357500000002</v>
      </c>
      <c r="K152" s="257"/>
      <c r="L152" s="257"/>
      <c r="M152" s="257"/>
      <c r="N152" s="257"/>
      <c r="O152" s="257"/>
      <c r="P152" s="257">
        <f>SUM(J152:O152)</f>
        <v>24586.357500000002</v>
      </c>
      <c r="R152" s="257">
        <f>(6500*2)*1.03*1.02*1.02</f>
        <v>13930.956000000002</v>
      </c>
      <c r="S152" s="257"/>
      <c r="T152" s="257"/>
      <c r="U152" s="257"/>
      <c r="V152" s="257"/>
      <c r="W152" s="257"/>
      <c r="X152" s="257">
        <f>SUM(R152:W152)</f>
        <v>13930.956000000002</v>
      </c>
      <c r="Z152" s="257">
        <f>(6500*2)*1.03*1.02*1.02</f>
        <v>13930.956000000002</v>
      </c>
      <c r="AA152" s="257"/>
      <c r="AB152" s="257"/>
      <c r="AC152" s="257"/>
      <c r="AD152" s="257"/>
      <c r="AE152" s="257"/>
      <c r="AF152" s="257">
        <f>SUM(Z152:AE152)</f>
        <v>13930.956000000002</v>
      </c>
      <c r="AH152" s="257">
        <f>((6500*3)*1.03*1.03*1.03)+3000</f>
        <v>24308.176500000001</v>
      </c>
      <c r="AI152" s="257"/>
      <c r="AJ152" s="257"/>
      <c r="AK152" s="257"/>
      <c r="AL152" s="257"/>
      <c r="AM152" s="257"/>
      <c r="AN152" s="257">
        <f>SUM(AH152:AM152)</f>
        <v>24308.176500000001</v>
      </c>
      <c r="AP152" s="257">
        <f>6500*1.03*1.03</f>
        <v>6895.85</v>
      </c>
      <c r="AQ152" s="257"/>
      <c r="AR152" s="257"/>
      <c r="AS152" s="257"/>
      <c r="AT152" s="257"/>
      <c r="AU152" s="257"/>
      <c r="AV152" s="257">
        <f>SUM(AP152:AU152)</f>
        <v>6895.85</v>
      </c>
      <c r="AX152" s="257">
        <f>(6500*2)*1.03*1.03*1.03</f>
        <v>14205.451000000001</v>
      </c>
      <c r="AY152" s="257"/>
      <c r="AZ152" s="257"/>
      <c r="BA152" s="257"/>
      <c r="BB152" s="257"/>
      <c r="BC152" s="257"/>
      <c r="BD152" s="257">
        <f>SUM(AX152:BC152)</f>
        <v>14205.451000000001</v>
      </c>
      <c r="BF152" s="241"/>
      <c r="BG152" s="257"/>
      <c r="BH152" s="257"/>
      <c r="BI152" s="257"/>
      <c r="BJ152" s="257"/>
      <c r="BK152" s="257"/>
      <c r="BL152" s="257">
        <f>SUM(BF152:BK152)</f>
        <v>0</v>
      </c>
      <c r="BN152" s="241">
        <f>B152+J152+R152+Z152+AH152+AP152+AX152+BF152</f>
        <v>106966.44900000002</v>
      </c>
      <c r="BO152" s="241">
        <f t="shared" ref="BO152:BS158" si="303">C152+K152+S152+AA152+AI152+AQ152+AY152+BG152</f>
        <v>0</v>
      </c>
      <c r="BP152" s="241">
        <f t="shared" si="303"/>
        <v>0</v>
      </c>
      <c r="BQ152" s="241">
        <f t="shared" si="303"/>
        <v>0</v>
      </c>
      <c r="BR152" s="241">
        <f t="shared" si="303"/>
        <v>0</v>
      </c>
      <c r="BS152" s="241">
        <f t="shared" si="303"/>
        <v>0</v>
      </c>
      <c r="BT152" s="257">
        <f>SUM(BN152:BS152)</f>
        <v>106966.44900000002</v>
      </c>
    </row>
    <row r="153" spans="1:72" x14ac:dyDescent="0.25">
      <c r="A153" s="211" t="s">
        <v>263</v>
      </c>
      <c r="B153" s="244"/>
      <c r="C153" s="244">
        <f>(470*B17)</f>
        <v>435690</v>
      </c>
      <c r="D153" s="244"/>
      <c r="E153" s="244"/>
      <c r="F153" s="244"/>
      <c r="G153" s="244"/>
      <c r="H153" s="257">
        <f t="shared" ref="H153:H158" si="304">SUM(B153:G153)</f>
        <v>435690</v>
      </c>
      <c r="J153" s="244"/>
      <c r="K153" s="244">
        <f>(170*J17)</f>
        <v>427380</v>
      </c>
      <c r="L153" s="244"/>
      <c r="M153" s="244"/>
      <c r="N153" s="244"/>
      <c r="O153" s="244"/>
      <c r="P153" s="257">
        <f t="shared" ref="P153:P158" si="305">SUM(J153:O153)</f>
        <v>427380</v>
      </c>
      <c r="R153" s="244"/>
      <c r="S153" s="244">
        <f>(190*R17)</f>
        <v>195700</v>
      </c>
      <c r="T153" s="244"/>
      <c r="U153" s="244"/>
      <c r="V153" s="244"/>
      <c r="W153" s="244"/>
      <c r="X153" s="257">
        <f t="shared" ref="X153:X158" si="306">SUM(R153:W153)</f>
        <v>195700</v>
      </c>
      <c r="Z153" s="244"/>
      <c r="AA153" s="244">
        <f>(100*Z17)</f>
        <v>119800</v>
      </c>
      <c r="AB153" s="244"/>
      <c r="AC153" s="244"/>
      <c r="AD153" s="244"/>
      <c r="AE153" s="244"/>
      <c r="AF153" s="257">
        <f t="shared" ref="AF153:AF158" si="307">SUM(Z153:AE153)</f>
        <v>119800</v>
      </c>
      <c r="AH153" s="244"/>
      <c r="AI153" s="244">
        <f>(190*AH17)</f>
        <v>476520</v>
      </c>
      <c r="AJ153" s="244"/>
      <c r="AK153" s="244"/>
      <c r="AL153" s="244"/>
      <c r="AM153" s="244"/>
      <c r="AN153" s="257">
        <f t="shared" ref="AN153:AN158" si="308">SUM(AH153:AM153)</f>
        <v>476520</v>
      </c>
      <c r="AP153" s="244"/>
      <c r="AQ153" s="280">
        <f>(415*AP17)</f>
        <v>379310</v>
      </c>
      <c r="AR153" s="244"/>
      <c r="AS153" s="244"/>
      <c r="AT153" s="244"/>
      <c r="AU153" s="244"/>
      <c r="AV153" s="257">
        <f t="shared" ref="AV153:AV158" si="309">SUM(AP153:AU153)</f>
        <v>379310</v>
      </c>
      <c r="AX153" s="244"/>
      <c r="AY153" s="280">
        <f>(300*AX17)</f>
        <v>54600</v>
      </c>
      <c r="AZ153" s="244"/>
      <c r="BA153" s="244"/>
      <c r="BB153" s="244"/>
      <c r="BC153" s="244"/>
      <c r="BD153" s="257">
        <f t="shared" ref="BD153:BD158" si="310">SUM(AX153:BC153)</f>
        <v>54600</v>
      </c>
      <c r="BF153" s="244"/>
      <c r="BG153" s="244"/>
      <c r="BH153" s="244"/>
      <c r="BI153" s="244"/>
      <c r="BJ153" s="244"/>
      <c r="BK153" s="244"/>
      <c r="BL153" s="257">
        <f t="shared" ref="BL153:BL158" si="311">SUM(BF153:BK153)</f>
        <v>0</v>
      </c>
      <c r="BN153" s="241">
        <f t="shared" ref="BN153:BN158" si="312">B153+J153+R153+Z153+AH153+AP153+AX153+BF153</f>
        <v>0</v>
      </c>
      <c r="BO153" s="241">
        <f t="shared" si="303"/>
        <v>2089000</v>
      </c>
      <c r="BP153" s="241">
        <f t="shared" si="303"/>
        <v>0</v>
      </c>
      <c r="BQ153" s="241">
        <f t="shared" si="303"/>
        <v>0</v>
      </c>
      <c r="BR153" s="241">
        <f t="shared" si="303"/>
        <v>0</v>
      </c>
      <c r="BS153" s="241">
        <f t="shared" si="303"/>
        <v>0</v>
      </c>
      <c r="BT153" s="257">
        <f t="shared" ref="BT153:BT158" si="313">SUM(BN153:BS153)</f>
        <v>2089000</v>
      </c>
    </row>
    <row r="154" spans="1:72" x14ac:dyDescent="0.25">
      <c r="A154" s="211" t="s">
        <v>325</v>
      </c>
      <c r="B154" s="244">
        <f>(220*11*B36)-B124</f>
        <v>67440</v>
      </c>
      <c r="C154" s="244">
        <f>(220*11*C36)-C124</f>
        <v>12100</v>
      </c>
      <c r="D154" s="244">
        <f>(195*11*D36)-D124</f>
        <v>0</v>
      </c>
      <c r="E154" s="244">
        <f>(195*11*E36)-E124</f>
        <v>0</v>
      </c>
      <c r="F154" s="244">
        <f>(195*11*F34)-F124</f>
        <v>0</v>
      </c>
      <c r="G154" s="244">
        <f>(195*11*G34)-G124</f>
        <v>0</v>
      </c>
      <c r="H154" s="257">
        <f t="shared" si="304"/>
        <v>79540</v>
      </c>
      <c r="J154" s="244">
        <f>(225*11*J36)-J124</f>
        <v>147375</v>
      </c>
      <c r="K154" s="244">
        <f>(225*11*K36)-K124</f>
        <v>32175</v>
      </c>
      <c r="L154" s="244">
        <f>(195*11*L36)-L124</f>
        <v>0</v>
      </c>
      <c r="M154" s="244">
        <f>(195*11*M36)-M124</f>
        <v>0</v>
      </c>
      <c r="N154" s="244">
        <f>(195*11*N34)-N124</f>
        <v>0</v>
      </c>
      <c r="O154" s="244">
        <f>(195*11*O34)-O124</f>
        <v>0</v>
      </c>
      <c r="P154" s="257">
        <f t="shared" si="305"/>
        <v>179550</v>
      </c>
      <c r="R154" s="244">
        <f>(225*11*R36)-R124</f>
        <v>74700</v>
      </c>
      <c r="S154" s="244">
        <f>(225*11*S36)-S124</f>
        <v>9900</v>
      </c>
      <c r="T154" s="244">
        <f>(195*11*T36)-T124</f>
        <v>0</v>
      </c>
      <c r="U154" s="244">
        <f>(195*11*U36)-U124</f>
        <v>0</v>
      </c>
      <c r="V154" s="244">
        <f>(195*11*V34)-V124</f>
        <v>0</v>
      </c>
      <c r="W154" s="244">
        <f>(195*11*W34)-W124</f>
        <v>0</v>
      </c>
      <c r="X154" s="257">
        <f t="shared" si="306"/>
        <v>84600</v>
      </c>
      <c r="Z154" s="244">
        <f>(225*11*Z36)-Z124</f>
        <v>70200</v>
      </c>
      <c r="AA154" s="244">
        <f>(225*11*AA36)-AA124</f>
        <v>12375</v>
      </c>
      <c r="AB154" s="244">
        <f>(195*11*AB36)-AB124</f>
        <v>0</v>
      </c>
      <c r="AC154" s="244">
        <f>(195*11*AC36)-AC124</f>
        <v>0</v>
      </c>
      <c r="AD154" s="244">
        <f>(195*11*AD34)-AD124</f>
        <v>0</v>
      </c>
      <c r="AE154" s="244">
        <f>(195*11*AE34)-AE124</f>
        <v>0</v>
      </c>
      <c r="AF154" s="257">
        <f t="shared" si="307"/>
        <v>82575</v>
      </c>
      <c r="AH154" s="244">
        <f>(225*11*AH36)-AH124</f>
        <v>113175</v>
      </c>
      <c r="AI154" s="244">
        <f>(225*11*AI36)-AI124</f>
        <v>32175</v>
      </c>
      <c r="AJ154" s="244">
        <f>(195*11*AJ36)-AJ124</f>
        <v>0</v>
      </c>
      <c r="AK154" s="244">
        <f>(195*11*AK36)-AK124</f>
        <v>0</v>
      </c>
      <c r="AL154" s="244">
        <f>(195*11*AL34)-AL124</f>
        <v>0</v>
      </c>
      <c r="AM154" s="244">
        <f>(195*11*AM34)-AM124</f>
        <v>0</v>
      </c>
      <c r="AN154" s="257">
        <f t="shared" si="308"/>
        <v>145350</v>
      </c>
      <c r="AP154" s="244">
        <f>(225*11*AP36)-AP124</f>
        <v>94050</v>
      </c>
      <c r="AQ154" s="244">
        <f>(225*11*AQ36)-AQ124</f>
        <v>9900</v>
      </c>
      <c r="AR154" s="244">
        <f>(195*11*AR36)-AR124</f>
        <v>0</v>
      </c>
      <c r="AS154" s="244">
        <f>(195*11*AS36)-AS124</f>
        <v>0</v>
      </c>
      <c r="AT154" s="244">
        <f>(195*11*AT34)-AT124</f>
        <v>0</v>
      </c>
      <c r="AU154" s="244">
        <f>(195*11*AU34)-AU124</f>
        <v>0</v>
      </c>
      <c r="AV154" s="257">
        <f t="shared" si="309"/>
        <v>103950</v>
      </c>
      <c r="AX154" s="244">
        <f>(225*11*AX36)-AX124</f>
        <v>0</v>
      </c>
      <c r="AY154" s="244">
        <f>(225*11*AY36)-AY124</f>
        <v>2475</v>
      </c>
      <c r="AZ154" s="244">
        <f>(195*11*AZ36)-AZ124</f>
        <v>0</v>
      </c>
      <c r="BA154" s="244">
        <f>(195*11*BA36)-BA124</f>
        <v>0</v>
      </c>
      <c r="BB154" s="244">
        <f>(195*11*BB34)-BB124</f>
        <v>0</v>
      </c>
      <c r="BC154" s="244">
        <f>(195*11*BC34)-BC124</f>
        <v>0</v>
      </c>
      <c r="BD154" s="257">
        <f t="shared" si="310"/>
        <v>2475</v>
      </c>
      <c r="BF154" s="244"/>
      <c r="BG154" s="244"/>
      <c r="BH154" s="244"/>
      <c r="BI154" s="244"/>
      <c r="BJ154" s="244"/>
      <c r="BK154" s="244"/>
      <c r="BL154" s="257">
        <f t="shared" si="311"/>
        <v>0</v>
      </c>
      <c r="BN154" s="241">
        <f t="shared" si="312"/>
        <v>566940</v>
      </c>
      <c r="BO154" s="241">
        <f t="shared" si="303"/>
        <v>111100</v>
      </c>
      <c r="BP154" s="241">
        <f t="shared" si="303"/>
        <v>0</v>
      </c>
      <c r="BQ154" s="241">
        <f t="shared" si="303"/>
        <v>0</v>
      </c>
      <c r="BR154" s="241">
        <f t="shared" si="303"/>
        <v>0</v>
      </c>
      <c r="BS154" s="241">
        <f t="shared" si="303"/>
        <v>0</v>
      </c>
      <c r="BT154" s="257">
        <f t="shared" si="313"/>
        <v>678040</v>
      </c>
    </row>
    <row r="155" spans="1:72" x14ac:dyDescent="0.25">
      <c r="A155" s="211" t="s">
        <v>264</v>
      </c>
      <c r="B155" s="244"/>
      <c r="C155" s="244"/>
      <c r="D155" s="244"/>
      <c r="E155" s="244"/>
      <c r="F155" s="244"/>
      <c r="G155" s="244"/>
      <c r="H155" s="257">
        <f t="shared" si="304"/>
        <v>0</v>
      </c>
      <c r="J155" s="244"/>
      <c r="K155" s="244"/>
      <c r="L155" s="244"/>
      <c r="M155" s="244"/>
      <c r="N155" s="244"/>
      <c r="O155" s="244"/>
      <c r="P155" s="257">
        <f t="shared" si="305"/>
        <v>0</v>
      </c>
      <c r="R155" s="244"/>
      <c r="S155" s="244"/>
      <c r="T155" s="244"/>
      <c r="U155" s="244"/>
      <c r="V155" s="244"/>
      <c r="W155" s="244"/>
      <c r="X155" s="257">
        <f t="shared" si="306"/>
        <v>0</v>
      </c>
      <c r="Z155" s="244"/>
      <c r="AA155" s="244"/>
      <c r="AB155" s="244"/>
      <c r="AC155" s="244"/>
      <c r="AD155" s="244"/>
      <c r="AE155" s="244"/>
      <c r="AF155" s="257">
        <f t="shared" si="307"/>
        <v>0</v>
      </c>
      <c r="AH155" s="244"/>
      <c r="AI155" s="244"/>
      <c r="AJ155" s="244"/>
      <c r="AK155" s="244"/>
      <c r="AL155" s="244"/>
      <c r="AM155" s="244"/>
      <c r="AN155" s="257">
        <f t="shared" si="308"/>
        <v>0</v>
      </c>
      <c r="AP155" s="244"/>
      <c r="AQ155" s="244"/>
      <c r="AR155" s="244"/>
      <c r="AS155" s="244"/>
      <c r="AT155" s="244"/>
      <c r="AU155" s="244"/>
      <c r="AV155" s="257">
        <f t="shared" si="309"/>
        <v>0</v>
      </c>
      <c r="AX155" s="244">
        <f>(140*12)*AX17</f>
        <v>305760</v>
      </c>
      <c r="AY155" s="244"/>
      <c r="AZ155" s="244"/>
      <c r="BA155" s="244"/>
      <c r="BB155" s="244"/>
      <c r="BC155" s="244"/>
      <c r="BD155" s="257">
        <f t="shared" si="310"/>
        <v>305760</v>
      </c>
      <c r="BF155" s="244"/>
      <c r="BG155" s="244"/>
      <c r="BH155" s="244"/>
      <c r="BI155" s="244"/>
      <c r="BJ155" s="244"/>
      <c r="BK155" s="244"/>
      <c r="BL155" s="257">
        <f t="shared" si="311"/>
        <v>0</v>
      </c>
      <c r="BN155" s="241">
        <f t="shared" si="312"/>
        <v>305760</v>
      </c>
      <c r="BO155" s="241">
        <f t="shared" si="303"/>
        <v>0</v>
      </c>
      <c r="BP155" s="241">
        <f t="shared" si="303"/>
        <v>0</v>
      </c>
      <c r="BQ155" s="241">
        <f t="shared" si="303"/>
        <v>0</v>
      </c>
      <c r="BR155" s="241">
        <f t="shared" si="303"/>
        <v>0</v>
      </c>
      <c r="BS155" s="241">
        <f t="shared" si="303"/>
        <v>0</v>
      </c>
      <c r="BT155" s="257">
        <f t="shared" si="313"/>
        <v>305760</v>
      </c>
    </row>
    <row r="156" spans="1:72" x14ac:dyDescent="0.25">
      <c r="A156" s="211" t="s">
        <v>265</v>
      </c>
      <c r="B156" s="244">
        <f>B68*0.005</f>
        <v>45307.125</v>
      </c>
      <c r="C156" s="244"/>
      <c r="D156" s="244"/>
      <c r="E156" s="244"/>
      <c r="F156" s="244"/>
      <c r="G156" s="244"/>
      <c r="H156" s="257">
        <f t="shared" si="304"/>
        <v>45307.125</v>
      </c>
      <c r="J156" s="244">
        <f>J68*0.005</f>
        <v>122871.75</v>
      </c>
      <c r="K156" s="244"/>
      <c r="L156" s="244"/>
      <c r="M156" s="244"/>
      <c r="N156" s="244"/>
      <c r="O156" s="244"/>
      <c r="P156" s="257">
        <f t="shared" si="305"/>
        <v>122871.75</v>
      </c>
      <c r="R156" s="244">
        <f>R68*0.005</f>
        <v>50341.25</v>
      </c>
      <c r="S156" s="244"/>
      <c r="T156" s="244"/>
      <c r="U156" s="244"/>
      <c r="V156" s="244"/>
      <c r="W156" s="244"/>
      <c r="X156" s="257">
        <f t="shared" si="306"/>
        <v>50341.25</v>
      </c>
      <c r="Z156" s="244">
        <f>Z68*0.005</f>
        <v>58552.25</v>
      </c>
      <c r="AA156" s="244"/>
      <c r="AB156" s="244"/>
      <c r="AC156" s="244"/>
      <c r="AD156" s="244"/>
      <c r="AE156" s="244"/>
      <c r="AF156" s="257">
        <f t="shared" si="307"/>
        <v>58552.25</v>
      </c>
      <c r="AH156" s="244">
        <f>AH68*0.005</f>
        <v>122578.5</v>
      </c>
      <c r="AI156" s="244"/>
      <c r="AJ156" s="244"/>
      <c r="AK156" s="244"/>
      <c r="AL156" s="244"/>
      <c r="AM156" s="244"/>
      <c r="AN156" s="257">
        <f t="shared" si="308"/>
        <v>122578.5</v>
      </c>
      <c r="AP156" s="244">
        <f>AP68*0.005</f>
        <v>44671.75</v>
      </c>
      <c r="AQ156" s="244"/>
      <c r="AR156" s="244"/>
      <c r="AS156" s="244"/>
      <c r="AT156" s="244"/>
      <c r="AU156" s="244"/>
      <c r="AV156" s="257">
        <f t="shared" si="309"/>
        <v>44671.75</v>
      </c>
      <c r="AX156" s="244">
        <f>AX68*0.005</f>
        <v>8895.25</v>
      </c>
      <c r="AY156" s="244"/>
      <c r="AZ156" s="244"/>
      <c r="BA156" s="244"/>
      <c r="BB156" s="244"/>
      <c r="BC156" s="244"/>
      <c r="BD156" s="257">
        <f t="shared" si="310"/>
        <v>8895.25</v>
      </c>
      <c r="BF156" s="244"/>
      <c r="BG156" s="244"/>
      <c r="BH156" s="244"/>
      <c r="BI156" s="244"/>
      <c r="BJ156" s="244"/>
      <c r="BK156" s="244"/>
      <c r="BL156" s="257">
        <f t="shared" si="311"/>
        <v>0</v>
      </c>
      <c r="BN156" s="241">
        <f t="shared" si="312"/>
        <v>453217.875</v>
      </c>
      <c r="BO156" s="241">
        <f t="shared" si="303"/>
        <v>0</v>
      </c>
      <c r="BP156" s="241">
        <f t="shared" si="303"/>
        <v>0</v>
      </c>
      <c r="BQ156" s="241">
        <f t="shared" si="303"/>
        <v>0</v>
      </c>
      <c r="BR156" s="241">
        <f t="shared" si="303"/>
        <v>0</v>
      </c>
      <c r="BS156" s="241">
        <f t="shared" si="303"/>
        <v>0</v>
      </c>
      <c r="BT156" s="257">
        <f t="shared" si="313"/>
        <v>453217.875</v>
      </c>
    </row>
    <row r="157" spans="1:72" x14ac:dyDescent="0.25">
      <c r="A157" s="211" t="s">
        <v>266</v>
      </c>
      <c r="B157" s="244">
        <f>(B68*0.005)</f>
        <v>45307.125</v>
      </c>
      <c r="C157" s="244"/>
      <c r="D157" s="244"/>
      <c r="E157" s="244"/>
      <c r="F157" s="244"/>
      <c r="G157" s="244"/>
      <c r="H157" s="257">
        <f t="shared" si="304"/>
        <v>45307.125</v>
      </c>
      <c r="J157" s="244">
        <f>(J68*0.005)</f>
        <v>122871.75</v>
      </c>
      <c r="K157" s="244"/>
      <c r="L157" s="244"/>
      <c r="M157" s="244"/>
      <c r="N157" s="244"/>
      <c r="O157" s="244"/>
      <c r="P157" s="257">
        <f t="shared" si="305"/>
        <v>122871.75</v>
      </c>
      <c r="R157" s="244">
        <f>(R68*0.005)</f>
        <v>50341.25</v>
      </c>
      <c r="S157" s="244"/>
      <c r="T157" s="244"/>
      <c r="U157" s="244"/>
      <c r="V157" s="244"/>
      <c r="W157" s="244"/>
      <c r="X157" s="257">
        <f t="shared" si="306"/>
        <v>50341.25</v>
      </c>
      <c r="Z157" s="244">
        <f>(Z68*0.005)</f>
        <v>58552.25</v>
      </c>
      <c r="AA157" s="244"/>
      <c r="AB157" s="244"/>
      <c r="AC157" s="244"/>
      <c r="AD157" s="244"/>
      <c r="AE157" s="244"/>
      <c r="AF157" s="257">
        <f t="shared" si="307"/>
        <v>58552.25</v>
      </c>
      <c r="AH157" s="244">
        <f>(AH68*0.005)</f>
        <v>122578.5</v>
      </c>
      <c r="AI157" s="244"/>
      <c r="AJ157" s="244"/>
      <c r="AK157" s="244"/>
      <c r="AL157" s="244"/>
      <c r="AM157" s="244"/>
      <c r="AN157" s="257">
        <f t="shared" si="308"/>
        <v>122578.5</v>
      </c>
      <c r="AP157" s="244">
        <f>(AP68*0.005)</f>
        <v>44671.75</v>
      </c>
      <c r="AQ157" s="244"/>
      <c r="AR157" s="244"/>
      <c r="AS157" s="244"/>
      <c r="AT157" s="244"/>
      <c r="AU157" s="244"/>
      <c r="AV157" s="257">
        <f t="shared" si="309"/>
        <v>44671.75</v>
      </c>
      <c r="AX157" s="244">
        <f>(AX68*0.005)</f>
        <v>8895.25</v>
      </c>
      <c r="AY157" s="244"/>
      <c r="AZ157" s="244"/>
      <c r="BA157" s="244"/>
      <c r="BB157" s="244"/>
      <c r="BC157" s="244"/>
      <c r="BD157" s="257">
        <f t="shared" si="310"/>
        <v>8895.25</v>
      </c>
      <c r="BF157" s="244"/>
      <c r="BG157" s="244"/>
      <c r="BH157" s="244"/>
      <c r="BI157" s="244"/>
      <c r="BJ157" s="244"/>
      <c r="BK157" s="244"/>
      <c r="BL157" s="257">
        <f t="shared" si="311"/>
        <v>0</v>
      </c>
      <c r="BN157" s="241">
        <f t="shared" si="312"/>
        <v>453217.875</v>
      </c>
      <c r="BO157" s="241">
        <f t="shared" si="303"/>
        <v>0</v>
      </c>
      <c r="BP157" s="241">
        <f t="shared" si="303"/>
        <v>0</v>
      </c>
      <c r="BQ157" s="241">
        <f t="shared" si="303"/>
        <v>0</v>
      </c>
      <c r="BR157" s="241">
        <f t="shared" si="303"/>
        <v>0</v>
      </c>
      <c r="BS157" s="241">
        <f t="shared" si="303"/>
        <v>0</v>
      </c>
      <c r="BT157" s="257">
        <f t="shared" si="313"/>
        <v>453217.875</v>
      </c>
    </row>
    <row r="158" spans="1:72" x14ac:dyDescent="0.25">
      <c r="A158" s="212" t="s">
        <v>267</v>
      </c>
      <c r="B158" s="245"/>
      <c r="C158" s="245"/>
      <c r="D158" s="245"/>
      <c r="E158" s="245"/>
      <c r="F158" s="245"/>
      <c r="G158" s="245"/>
      <c r="H158" s="257">
        <f t="shared" si="304"/>
        <v>0</v>
      </c>
      <c r="J158" s="245"/>
      <c r="K158" s="245"/>
      <c r="L158" s="245"/>
      <c r="M158" s="245"/>
      <c r="N158" s="245"/>
      <c r="O158" s="245"/>
      <c r="P158" s="257">
        <f t="shared" si="305"/>
        <v>0</v>
      </c>
      <c r="R158" s="245"/>
      <c r="S158" s="245"/>
      <c r="T158" s="245"/>
      <c r="U158" s="245"/>
      <c r="V158" s="245"/>
      <c r="W158" s="245"/>
      <c r="X158" s="257">
        <f t="shared" si="306"/>
        <v>0</v>
      </c>
      <c r="Z158" s="245"/>
      <c r="AA158" s="245"/>
      <c r="AB158" s="245"/>
      <c r="AC158" s="245"/>
      <c r="AD158" s="245"/>
      <c r="AE158" s="245"/>
      <c r="AF158" s="257">
        <f t="shared" si="307"/>
        <v>0</v>
      </c>
      <c r="AH158" s="245"/>
      <c r="AI158" s="245"/>
      <c r="AJ158" s="245"/>
      <c r="AK158" s="245"/>
      <c r="AL158" s="245"/>
      <c r="AM158" s="245"/>
      <c r="AN158" s="257">
        <f t="shared" si="308"/>
        <v>0</v>
      </c>
      <c r="AP158" s="245"/>
      <c r="AQ158" s="245"/>
      <c r="AR158" s="245"/>
      <c r="AS158" s="245"/>
      <c r="AT158" s="245"/>
      <c r="AU158" s="245"/>
      <c r="AV158" s="257">
        <f t="shared" si="309"/>
        <v>0</v>
      </c>
      <c r="AX158" s="245"/>
      <c r="AY158" s="245"/>
      <c r="AZ158" s="245"/>
      <c r="BA158" s="245"/>
      <c r="BB158" s="245"/>
      <c r="BC158" s="245"/>
      <c r="BD158" s="257">
        <f t="shared" si="310"/>
        <v>0</v>
      </c>
      <c r="BF158" s="245"/>
      <c r="BG158" s="245"/>
      <c r="BH158" s="245"/>
      <c r="BI158" s="245"/>
      <c r="BJ158" s="245"/>
      <c r="BK158" s="245"/>
      <c r="BL158" s="257">
        <f t="shared" si="311"/>
        <v>0</v>
      </c>
      <c r="BN158" s="241">
        <f t="shared" si="312"/>
        <v>0</v>
      </c>
      <c r="BO158" s="241">
        <f t="shared" si="303"/>
        <v>0</v>
      </c>
      <c r="BP158" s="241">
        <f t="shared" si="303"/>
        <v>0</v>
      </c>
      <c r="BQ158" s="241">
        <f t="shared" si="303"/>
        <v>0</v>
      </c>
      <c r="BR158" s="241">
        <f t="shared" si="303"/>
        <v>0</v>
      </c>
      <c r="BS158" s="241">
        <f t="shared" si="303"/>
        <v>0</v>
      </c>
      <c r="BT158" s="257">
        <f t="shared" si="313"/>
        <v>0</v>
      </c>
    </row>
    <row r="159" spans="1:72" x14ac:dyDescent="0.25">
      <c r="A159" s="213"/>
      <c r="B159" s="258">
        <f>SUM(B152:B158)</f>
        <v>167162.95199999999</v>
      </c>
      <c r="C159" s="258">
        <f t="shared" ref="C159:G159" si="314">SUM(C152:C158)</f>
        <v>447790</v>
      </c>
      <c r="D159" s="258">
        <f t="shared" si="314"/>
        <v>0</v>
      </c>
      <c r="E159" s="258">
        <f t="shared" si="314"/>
        <v>0</v>
      </c>
      <c r="F159" s="258">
        <f t="shared" si="314"/>
        <v>0</v>
      </c>
      <c r="G159" s="258">
        <f t="shared" si="314"/>
        <v>0</v>
      </c>
      <c r="H159" s="258">
        <f>SUM(H152:H158)</f>
        <v>614952.95200000005</v>
      </c>
      <c r="J159" s="258">
        <f>SUM(J152:J158)</f>
        <v>417704.85750000004</v>
      </c>
      <c r="K159" s="258">
        <f t="shared" ref="K159:O159" si="315">SUM(K152:K158)</f>
        <v>459555</v>
      </c>
      <c r="L159" s="258">
        <f t="shared" si="315"/>
        <v>0</v>
      </c>
      <c r="M159" s="258">
        <f t="shared" si="315"/>
        <v>0</v>
      </c>
      <c r="N159" s="258">
        <f t="shared" si="315"/>
        <v>0</v>
      </c>
      <c r="O159" s="258">
        <f t="shared" si="315"/>
        <v>0</v>
      </c>
      <c r="P159" s="258">
        <f>SUM(P152:P158)</f>
        <v>877259.85749999993</v>
      </c>
      <c r="R159" s="258">
        <f>SUM(R152:R158)</f>
        <v>189313.45600000001</v>
      </c>
      <c r="S159" s="258">
        <f t="shared" ref="S159:W159" si="316">SUM(S152:S158)</f>
        <v>205600</v>
      </c>
      <c r="T159" s="258">
        <f t="shared" si="316"/>
        <v>0</v>
      </c>
      <c r="U159" s="258">
        <f t="shared" si="316"/>
        <v>0</v>
      </c>
      <c r="V159" s="258">
        <f t="shared" si="316"/>
        <v>0</v>
      </c>
      <c r="W159" s="258">
        <f t="shared" si="316"/>
        <v>0</v>
      </c>
      <c r="X159" s="258">
        <f>SUM(X152:X158)</f>
        <v>394913.45600000001</v>
      </c>
      <c r="Z159" s="258">
        <f>SUM(Z152:Z158)</f>
        <v>201235.45600000001</v>
      </c>
      <c r="AA159" s="258">
        <f t="shared" ref="AA159:AE159" si="317">SUM(AA152:AA158)</f>
        <v>132175</v>
      </c>
      <c r="AB159" s="258">
        <f t="shared" si="317"/>
        <v>0</v>
      </c>
      <c r="AC159" s="258">
        <f t="shared" si="317"/>
        <v>0</v>
      </c>
      <c r="AD159" s="258">
        <f t="shared" si="317"/>
        <v>0</v>
      </c>
      <c r="AE159" s="258">
        <f t="shared" si="317"/>
        <v>0</v>
      </c>
      <c r="AF159" s="258">
        <f>SUM(AF152:AF158)</f>
        <v>333410.45600000001</v>
      </c>
      <c r="AH159" s="258">
        <f>SUM(AH152:AH158)</f>
        <v>382640.1765</v>
      </c>
      <c r="AI159" s="258">
        <f t="shared" ref="AI159:AM159" si="318">SUM(AI152:AI158)</f>
        <v>508695</v>
      </c>
      <c r="AJ159" s="258">
        <f t="shared" si="318"/>
        <v>0</v>
      </c>
      <c r="AK159" s="258">
        <f t="shared" si="318"/>
        <v>0</v>
      </c>
      <c r="AL159" s="258">
        <f t="shared" si="318"/>
        <v>0</v>
      </c>
      <c r="AM159" s="258">
        <f t="shared" si="318"/>
        <v>0</v>
      </c>
      <c r="AN159" s="258">
        <f>SUM(AN152:AN158)</f>
        <v>891335.17650000006</v>
      </c>
      <c r="AP159" s="258">
        <f>SUM(AP152:AP158)</f>
        <v>190289.35</v>
      </c>
      <c r="AQ159" s="258">
        <f t="shared" ref="AQ159:AU159" si="319">SUM(AQ152:AQ158)</f>
        <v>389210</v>
      </c>
      <c r="AR159" s="258">
        <f t="shared" si="319"/>
        <v>0</v>
      </c>
      <c r="AS159" s="258">
        <f t="shared" si="319"/>
        <v>0</v>
      </c>
      <c r="AT159" s="258">
        <f t="shared" si="319"/>
        <v>0</v>
      </c>
      <c r="AU159" s="258">
        <f t="shared" si="319"/>
        <v>0</v>
      </c>
      <c r="AV159" s="258">
        <f>SUM(AV152:AV158)</f>
        <v>579499.35</v>
      </c>
      <c r="AX159" s="258">
        <f>SUM(AX152:AX158)</f>
        <v>337755.951</v>
      </c>
      <c r="AY159" s="258">
        <f t="shared" ref="AY159:BC159" si="320">SUM(AY152:AY158)</f>
        <v>57075</v>
      </c>
      <c r="AZ159" s="258">
        <f t="shared" si="320"/>
        <v>0</v>
      </c>
      <c r="BA159" s="258">
        <f t="shared" si="320"/>
        <v>0</v>
      </c>
      <c r="BB159" s="258">
        <f t="shared" si="320"/>
        <v>0</v>
      </c>
      <c r="BC159" s="258">
        <f t="shared" si="320"/>
        <v>0</v>
      </c>
      <c r="BD159" s="258">
        <f>SUM(BD152:BD158)</f>
        <v>394830.951</v>
      </c>
      <c r="BF159" s="258">
        <f>SUM(BF152:BF158)</f>
        <v>0</v>
      </c>
      <c r="BG159" s="258">
        <f t="shared" ref="BG159:BK159" si="321">SUM(BG152:BG158)</f>
        <v>0</v>
      </c>
      <c r="BH159" s="258">
        <f t="shared" si="321"/>
        <v>0</v>
      </c>
      <c r="BI159" s="258">
        <f t="shared" si="321"/>
        <v>0</v>
      </c>
      <c r="BJ159" s="258">
        <f t="shared" si="321"/>
        <v>0</v>
      </c>
      <c r="BK159" s="258">
        <f t="shared" si="321"/>
        <v>0</v>
      </c>
      <c r="BL159" s="258">
        <f>SUM(BL152:BL158)</f>
        <v>0</v>
      </c>
      <c r="BN159" s="258">
        <f>SUM(BN152:BN158)</f>
        <v>1886102.199</v>
      </c>
      <c r="BO159" s="258">
        <f t="shared" ref="BO159:BS159" si="322">SUM(BO152:BO158)</f>
        <v>2200100</v>
      </c>
      <c r="BP159" s="258">
        <f t="shared" si="322"/>
        <v>0</v>
      </c>
      <c r="BQ159" s="258">
        <f t="shared" si="322"/>
        <v>0</v>
      </c>
      <c r="BR159" s="258">
        <f t="shared" si="322"/>
        <v>0</v>
      </c>
      <c r="BS159" s="258">
        <f t="shared" si="322"/>
        <v>0</v>
      </c>
      <c r="BT159" s="258">
        <f>SUM(BT152:BT158)</f>
        <v>4086202.199</v>
      </c>
    </row>
    <row r="160" spans="1:72" x14ac:dyDescent="0.25">
      <c r="B160" s="259"/>
      <c r="C160" s="259"/>
      <c r="D160" s="259"/>
      <c r="E160" s="259"/>
      <c r="F160" s="259"/>
      <c r="G160" s="259"/>
      <c r="H160" s="259"/>
      <c r="J160" s="259"/>
      <c r="K160" s="259"/>
      <c r="L160" s="259"/>
      <c r="M160" s="259"/>
      <c r="N160" s="259"/>
      <c r="O160" s="259"/>
      <c r="P160" s="259"/>
      <c r="R160" s="259"/>
      <c r="S160" s="259"/>
      <c r="T160" s="259"/>
      <c r="U160" s="259"/>
      <c r="V160" s="259"/>
      <c r="W160" s="259"/>
      <c r="X160" s="259"/>
      <c r="Z160" s="259"/>
      <c r="AA160" s="259"/>
      <c r="AB160" s="259"/>
      <c r="AC160" s="259"/>
      <c r="AD160" s="259"/>
      <c r="AE160" s="259"/>
      <c r="AF160" s="259"/>
      <c r="AH160" s="259"/>
      <c r="AI160" s="259"/>
      <c r="AJ160" s="259"/>
      <c r="AK160" s="259"/>
      <c r="AL160" s="259"/>
      <c r="AM160" s="259"/>
      <c r="AN160" s="259"/>
      <c r="AP160" s="259"/>
      <c r="AQ160" s="259"/>
      <c r="AR160" s="259"/>
      <c r="AS160" s="259"/>
      <c r="AT160" s="259"/>
      <c r="AU160" s="259"/>
      <c r="AV160" s="259"/>
      <c r="AX160" s="259"/>
      <c r="AY160" s="259"/>
      <c r="AZ160" s="259"/>
      <c r="BA160" s="259"/>
      <c r="BB160" s="259"/>
      <c r="BC160" s="259"/>
      <c r="BD160" s="259"/>
      <c r="BF160" s="259"/>
      <c r="BG160" s="259"/>
      <c r="BH160" s="259"/>
      <c r="BI160" s="259"/>
      <c r="BJ160" s="259"/>
      <c r="BK160" s="259"/>
      <c r="BL160" s="259"/>
      <c r="BN160" s="259"/>
      <c r="BO160" s="259"/>
      <c r="BP160" s="259"/>
      <c r="BQ160" s="259"/>
      <c r="BR160" s="259"/>
      <c r="BS160" s="259"/>
      <c r="BT160" s="259"/>
    </row>
    <row r="161" spans="1:72" x14ac:dyDescent="0.25">
      <c r="A161" s="208" t="s">
        <v>335</v>
      </c>
      <c r="B161" s="260" t="s">
        <v>309</v>
      </c>
      <c r="C161" s="260" t="s">
        <v>310</v>
      </c>
      <c r="D161" s="260" t="s">
        <v>311</v>
      </c>
      <c r="E161" s="260" t="str">
        <f>E151</f>
        <v>Other</v>
      </c>
      <c r="F161" s="260" t="s">
        <v>315</v>
      </c>
      <c r="G161" s="260" t="s">
        <v>314</v>
      </c>
      <c r="H161" s="260" t="str">
        <f>H151</f>
        <v>Horizon</v>
      </c>
      <c r="J161" s="260" t="s">
        <v>309</v>
      </c>
      <c r="K161" s="260" t="s">
        <v>310</v>
      </c>
      <c r="L161" s="260" t="s">
        <v>311</v>
      </c>
      <c r="M161" s="260" t="str">
        <f>M151</f>
        <v>Other</v>
      </c>
      <c r="N161" s="260" t="s">
        <v>315</v>
      </c>
      <c r="O161" s="260" t="s">
        <v>314</v>
      </c>
      <c r="P161" s="260" t="str">
        <f>P151</f>
        <v>Cadence</v>
      </c>
      <c r="R161" s="260" t="s">
        <v>309</v>
      </c>
      <c r="S161" s="260" t="s">
        <v>310</v>
      </c>
      <c r="T161" s="260" t="s">
        <v>311</v>
      </c>
      <c r="U161" s="260" t="str">
        <f>U151</f>
        <v>Other</v>
      </c>
      <c r="V161" s="260" t="s">
        <v>315</v>
      </c>
      <c r="W161" s="260" t="s">
        <v>314</v>
      </c>
      <c r="X161" s="260" t="str">
        <f>X151</f>
        <v>St. Rose</v>
      </c>
      <c r="Z161" s="260" t="s">
        <v>309</v>
      </c>
      <c r="AA161" s="260" t="s">
        <v>310</v>
      </c>
      <c r="AB161" s="260" t="s">
        <v>311</v>
      </c>
      <c r="AC161" s="260" t="str">
        <f>AC151</f>
        <v>Other</v>
      </c>
      <c r="AD161" s="260" t="s">
        <v>315</v>
      </c>
      <c r="AE161" s="260" t="s">
        <v>314</v>
      </c>
      <c r="AF161" s="260" t="str">
        <f>AF151</f>
        <v>Inspirada</v>
      </c>
      <c r="AH161" s="260" t="s">
        <v>309</v>
      </c>
      <c r="AI161" s="260" t="s">
        <v>310</v>
      </c>
      <c r="AJ161" s="260" t="s">
        <v>311</v>
      </c>
      <c r="AK161" s="260" t="str">
        <f>AK151</f>
        <v>Other</v>
      </c>
      <c r="AL161" s="260" t="s">
        <v>315</v>
      </c>
      <c r="AM161" s="260" t="s">
        <v>314</v>
      </c>
      <c r="AN161" s="260" t="str">
        <f>AN151</f>
        <v>Sloan</v>
      </c>
      <c r="AP161" s="260" t="s">
        <v>309</v>
      </c>
      <c r="AQ161" s="260" t="s">
        <v>310</v>
      </c>
      <c r="AR161" s="260" t="s">
        <v>311</v>
      </c>
      <c r="AS161" s="260" t="str">
        <f>AS151</f>
        <v>Other</v>
      </c>
      <c r="AT161" s="260" t="s">
        <v>315</v>
      </c>
      <c r="AU161" s="260" t="s">
        <v>314</v>
      </c>
      <c r="AV161" s="260" t="str">
        <f>AV151</f>
        <v>Springs</v>
      </c>
      <c r="AX161" s="260" t="s">
        <v>309</v>
      </c>
      <c r="AY161" s="260" t="s">
        <v>310</v>
      </c>
      <c r="AZ161" s="260" t="s">
        <v>311</v>
      </c>
      <c r="BA161" s="260" t="str">
        <f>BA151</f>
        <v>Other</v>
      </c>
      <c r="BB161" s="260" t="s">
        <v>315</v>
      </c>
      <c r="BC161" s="260" t="s">
        <v>314</v>
      </c>
      <c r="BD161" s="260" t="str">
        <f>BD151</f>
        <v>Virtual</v>
      </c>
      <c r="BF161" s="260" t="s">
        <v>309</v>
      </c>
      <c r="BG161" s="260" t="s">
        <v>310</v>
      </c>
      <c r="BH161" s="260" t="s">
        <v>311</v>
      </c>
      <c r="BI161" s="260" t="str">
        <f>BI151</f>
        <v>Other</v>
      </c>
      <c r="BJ161" s="260" t="s">
        <v>315</v>
      </c>
      <c r="BK161" s="260" t="s">
        <v>314</v>
      </c>
      <c r="BL161" s="260" t="str">
        <f>BL151</f>
        <v>Central</v>
      </c>
      <c r="BN161" s="260" t="s">
        <v>309</v>
      </c>
      <c r="BO161" s="260" t="s">
        <v>310</v>
      </c>
      <c r="BP161" s="260" t="s">
        <v>311</v>
      </c>
      <c r="BQ161" s="260" t="str">
        <f>BQ151</f>
        <v>Other</v>
      </c>
      <c r="BR161" s="260" t="s">
        <v>315</v>
      </c>
      <c r="BS161" s="260" t="s">
        <v>314</v>
      </c>
      <c r="BT161" s="260" t="str">
        <f>BT151</f>
        <v>System</v>
      </c>
    </row>
    <row r="162" spans="1:72" x14ac:dyDescent="0.25">
      <c r="A162" s="214" t="s">
        <v>262</v>
      </c>
      <c r="B162" s="257">
        <f>5000+500+500+250</f>
        <v>6250</v>
      </c>
      <c r="C162" s="257"/>
      <c r="D162" s="257"/>
      <c r="E162" s="257"/>
      <c r="F162" s="257"/>
      <c r="G162" s="257"/>
      <c r="H162" s="241">
        <f>SUM(B162:G162)</f>
        <v>6250</v>
      </c>
      <c r="J162" s="257">
        <f>5000+500+500+500</f>
        <v>6500</v>
      </c>
      <c r="K162" s="257"/>
      <c r="L162" s="257"/>
      <c r="M162" s="257"/>
      <c r="N162" s="257"/>
      <c r="O162" s="257"/>
      <c r="P162" s="241">
        <f>SUM(J162:O162)</f>
        <v>6500</v>
      </c>
      <c r="R162" s="257">
        <f>5000+500+500+250</f>
        <v>6250</v>
      </c>
      <c r="S162" s="257"/>
      <c r="T162" s="257"/>
      <c r="U162" s="257"/>
      <c r="V162" s="257"/>
      <c r="W162" s="257"/>
      <c r="X162" s="241">
        <f>SUM(R162:W162)</f>
        <v>6250</v>
      </c>
      <c r="Z162" s="257">
        <f>5000+500+500+250</f>
        <v>6250</v>
      </c>
      <c r="AA162" s="257"/>
      <c r="AB162" s="257"/>
      <c r="AC162" s="257"/>
      <c r="AD162" s="257"/>
      <c r="AE162" s="257"/>
      <c r="AF162" s="241">
        <f>SUM(Z162:AE162)</f>
        <v>6250</v>
      </c>
      <c r="AH162" s="257">
        <f>5000+500+500+250</f>
        <v>6250</v>
      </c>
      <c r="AI162" s="257"/>
      <c r="AJ162" s="257"/>
      <c r="AK162" s="257"/>
      <c r="AL162" s="257"/>
      <c r="AM162" s="257"/>
      <c r="AN162" s="241">
        <f>SUM(AH162:AM162)</f>
        <v>6250</v>
      </c>
      <c r="AP162" s="257">
        <f>2500+500</f>
        <v>3000</v>
      </c>
      <c r="AQ162" s="257"/>
      <c r="AR162" s="257"/>
      <c r="AS162" s="257"/>
      <c r="AT162" s="257"/>
      <c r="AU162" s="257"/>
      <c r="AV162" s="241">
        <f>SUM(AP162:AU162)</f>
        <v>3000</v>
      </c>
      <c r="AX162" s="257">
        <v>0</v>
      </c>
      <c r="AY162" s="257"/>
      <c r="AZ162" s="257"/>
      <c r="BA162" s="257"/>
      <c r="BB162" s="257"/>
      <c r="BC162" s="257"/>
      <c r="BD162" s="241">
        <f>SUM(AX162:BC162)</f>
        <v>0</v>
      </c>
      <c r="BF162" s="257"/>
      <c r="BG162" s="257"/>
      <c r="BH162" s="257"/>
      <c r="BI162" s="257"/>
      <c r="BJ162" s="257"/>
      <c r="BK162" s="257"/>
      <c r="BL162" s="241">
        <f>SUM(BF162:BK162)</f>
        <v>0</v>
      </c>
      <c r="BN162" s="241">
        <f>B162+J162+R162+Z162+AH162+AP162+AX162+BF162</f>
        <v>34500</v>
      </c>
      <c r="BO162" s="241">
        <f t="shared" ref="BO162:BS170" si="323">C162+K162+S162+AA162+AI162+AQ162+AY162+BG162</f>
        <v>0</v>
      </c>
      <c r="BP162" s="241">
        <f t="shared" si="323"/>
        <v>0</v>
      </c>
      <c r="BQ162" s="241">
        <f t="shared" si="323"/>
        <v>0</v>
      </c>
      <c r="BR162" s="241">
        <f t="shared" si="323"/>
        <v>0</v>
      </c>
      <c r="BS162" s="241">
        <f t="shared" si="323"/>
        <v>0</v>
      </c>
      <c r="BT162" s="241">
        <f>SUM(BN162:BS162)</f>
        <v>34500</v>
      </c>
    </row>
    <row r="163" spans="1:72" x14ac:dyDescent="0.25">
      <c r="A163" s="211" t="s">
        <v>264</v>
      </c>
      <c r="B163" s="244"/>
      <c r="C163" s="244"/>
      <c r="D163" s="244"/>
      <c r="E163" s="244"/>
      <c r="F163" s="244"/>
      <c r="G163" s="244"/>
      <c r="H163" s="241">
        <f t="shared" ref="H163:H170" si="324">SUM(B163:G163)</f>
        <v>0</v>
      </c>
      <c r="J163" s="244"/>
      <c r="K163" s="244"/>
      <c r="L163" s="244"/>
      <c r="M163" s="244"/>
      <c r="N163" s="244"/>
      <c r="O163" s="244"/>
      <c r="P163" s="241">
        <f t="shared" ref="P163:P170" si="325">SUM(J163:O163)</f>
        <v>0</v>
      </c>
      <c r="R163" s="242">
        <f>32697*1.04*1.04*1.03*1.03</f>
        <v>37518.808279680015</v>
      </c>
      <c r="S163" s="244"/>
      <c r="T163" s="244"/>
      <c r="U163" s="244"/>
      <c r="V163" s="244"/>
      <c r="W163" s="244"/>
      <c r="X163" s="241">
        <f t="shared" ref="X163:X170" si="326">SUM(R163:W163)</f>
        <v>37518.808279680015</v>
      </c>
      <c r="Z163" s="244"/>
      <c r="AA163" s="244"/>
      <c r="AB163" s="244"/>
      <c r="AC163" s="244"/>
      <c r="AD163" s="244"/>
      <c r="AE163" s="244"/>
      <c r="AF163" s="241">
        <f t="shared" ref="AF163:AF170" si="327">SUM(Z163:AE163)</f>
        <v>0</v>
      </c>
      <c r="AH163" s="244"/>
      <c r="AI163" s="244"/>
      <c r="AJ163" s="244"/>
      <c r="AK163" s="244"/>
      <c r="AL163" s="244"/>
      <c r="AM163" s="244"/>
      <c r="AN163" s="241">
        <f t="shared" ref="AN163:AN170" si="328">SUM(AH163:AM163)</f>
        <v>0</v>
      </c>
      <c r="AP163" s="244"/>
      <c r="AQ163" s="244"/>
      <c r="AR163" s="244"/>
      <c r="AS163" s="244"/>
      <c r="AT163" s="244"/>
      <c r="AU163" s="244"/>
      <c r="AV163" s="241">
        <f t="shared" ref="AV163:AV170" si="329">SUM(AP163:AU163)</f>
        <v>0</v>
      </c>
      <c r="AX163" s="244">
        <f>800*AX17</f>
        <v>145600</v>
      </c>
      <c r="AY163" s="244"/>
      <c r="AZ163" s="244"/>
      <c r="BA163" s="244"/>
      <c r="BB163" s="244"/>
      <c r="BC163" s="244"/>
      <c r="BD163" s="241">
        <f t="shared" ref="BD163:BD170" si="330">SUM(AX163:BC163)</f>
        <v>145600</v>
      </c>
      <c r="BF163" s="244"/>
      <c r="BG163" s="244"/>
      <c r="BH163" s="244"/>
      <c r="BI163" s="244"/>
      <c r="BJ163" s="244"/>
      <c r="BK163" s="244"/>
      <c r="BL163" s="241">
        <f t="shared" ref="BL163:BL170" si="331">SUM(BF163:BK163)</f>
        <v>0</v>
      </c>
      <c r="BN163" s="241">
        <f t="shared" ref="BN163:BN170" si="332">B163+J163+R163+Z163+AH163+AP163+AX163+BF163</f>
        <v>183118.80827968003</v>
      </c>
      <c r="BO163" s="241">
        <f t="shared" si="323"/>
        <v>0</v>
      </c>
      <c r="BP163" s="241">
        <f t="shared" si="323"/>
        <v>0</v>
      </c>
      <c r="BQ163" s="241">
        <f t="shared" si="323"/>
        <v>0</v>
      </c>
      <c r="BR163" s="241">
        <f t="shared" si="323"/>
        <v>0</v>
      </c>
      <c r="BS163" s="241">
        <f t="shared" si="323"/>
        <v>0</v>
      </c>
      <c r="BT163" s="241">
        <f t="shared" ref="BT163:BT170" si="333">SUM(BN163:BS163)</f>
        <v>183118.80827968003</v>
      </c>
    </row>
    <row r="164" spans="1:72" x14ac:dyDescent="0.25">
      <c r="A164" s="211" t="s">
        <v>268</v>
      </c>
      <c r="B164" s="244">
        <f>513.89*B17</f>
        <v>476376.02999999997</v>
      </c>
      <c r="C164" s="244"/>
      <c r="D164" s="244"/>
      <c r="E164" s="244"/>
      <c r="F164" s="244"/>
      <c r="G164" s="244"/>
      <c r="H164" s="241">
        <f t="shared" si="324"/>
        <v>476376.02999999997</v>
      </c>
      <c r="J164" s="244">
        <f>513.89*J17</f>
        <v>1291919.46</v>
      </c>
      <c r="K164" s="244"/>
      <c r="L164" s="244"/>
      <c r="M164" s="244"/>
      <c r="N164" s="244"/>
      <c r="O164" s="244"/>
      <c r="P164" s="241">
        <f t="shared" si="325"/>
        <v>1291919.46</v>
      </c>
      <c r="R164" s="244">
        <f>513.89*R17</f>
        <v>529306.69999999995</v>
      </c>
      <c r="S164" s="244"/>
      <c r="T164" s="244"/>
      <c r="U164" s="244"/>
      <c r="V164" s="244"/>
      <c r="W164" s="244"/>
      <c r="X164" s="241">
        <f t="shared" si="326"/>
        <v>529306.69999999995</v>
      </c>
      <c r="Z164" s="244">
        <f>513.89*Z17</f>
        <v>615640.22</v>
      </c>
      <c r="AA164" s="244"/>
      <c r="AB164" s="244"/>
      <c r="AC164" s="244"/>
      <c r="AD164" s="244"/>
      <c r="AE164" s="244"/>
      <c r="AF164" s="241">
        <f t="shared" si="327"/>
        <v>615640.22</v>
      </c>
      <c r="AH164" s="244">
        <f>513.89*AH17</f>
        <v>1288836.1199999999</v>
      </c>
      <c r="AI164" s="244"/>
      <c r="AJ164" s="244"/>
      <c r="AK164" s="244"/>
      <c r="AL164" s="244"/>
      <c r="AM164" s="244"/>
      <c r="AN164" s="241">
        <f t="shared" si="328"/>
        <v>1288836.1199999999</v>
      </c>
      <c r="AP164" s="244">
        <f>513.89*AP17</f>
        <v>469695.45999999996</v>
      </c>
      <c r="AQ164" s="244"/>
      <c r="AR164" s="244"/>
      <c r="AS164" s="244"/>
      <c r="AT164" s="244"/>
      <c r="AU164" s="244"/>
      <c r="AV164" s="241">
        <f t="shared" si="329"/>
        <v>469695.45999999996</v>
      </c>
      <c r="AX164" s="244">
        <f>513.89*AX17</f>
        <v>93527.98</v>
      </c>
      <c r="AY164" s="244"/>
      <c r="AZ164" s="244"/>
      <c r="BA164" s="244"/>
      <c r="BB164" s="244"/>
      <c r="BC164" s="244"/>
      <c r="BD164" s="241">
        <f t="shared" si="330"/>
        <v>93527.98</v>
      </c>
      <c r="BF164" s="244"/>
      <c r="BG164" s="244"/>
      <c r="BH164" s="244"/>
      <c r="BI164" s="244"/>
      <c r="BJ164" s="244"/>
      <c r="BK164" s="244"/>
      <c r="BL164" s="241">
        <f t="shared" si="331"/>
        <v>0</v>
      </c>
      <c r="BN164" s="241">
        <f t="shared" si="332"/>
        <v>4765301.9700000007</v>
      </c>
      <c r="BO164" s="241">
        <f t="shared" si="323"/>
        <v>0</v>
      </c>
      <c r="BP164" s="241">
        <f t="shared" si="323"/>
        <v>0</v>
      </c>
      <c r="BQ164" s="241">
        <f t="shared" si="323"/>
        <v>0</v>
      </c>
      <c r="BR164" s="241">
        <f t="shared" si="323"/>
        <v>0</v>
      </c>
      <c r="BS164" s="241">
        <f t="shared" si="323"/>
        <v>0</v>
      </c>
      <c r="BT164" s="241">
        <f t="shared" si="333"/>
        <v>4765301.9700000007</v>
      </c>
    </row>
    <row r="165" spans="1:72" x14ac:dyDescent="0.25">
      <c r="A165" s="211" t="s">
        <v>269</v>
      </c>
      <c r="B165" s="242">
        <f>(2500*12)*1.02*1.02*1.03</f>
        <v>32148.36</v>
      </c>
      <c r="C165" s="244"/>
      <c r="D165" s="244"/>
      <c r="E165" s="244"/>
      <c r="F165" s="244"/>
      <c r="G165" s="244"/>
      <c r="H165" s="241">
        <f t="shared" si="324"/>
        <v>32148.36</v>
      </c>
      <c r="J165" s="242">
        <f>(5700*12)*1.03*1.03*1.03</f>
        <v>74742.526799999992</v>
      </c>
      <c r="K165" s="244"/>
      <c r="L165" s="244"/>
      <c r="M165" s="244"/>
      <c r="N165" s="244"/>
      <c r="O165" s="244"/>
      <c r="P165" s="241">
        <f t="shared" si="325"/>
        <v>74742.526799999992</v>
      </c>
      <c r="R165" s="242">
        <f>(2600*12)*1.03*1.03*1.03</f>
        <v>34093.082399999999</v>
      </c>
      <c r="S165" s="244"/>
      <c r="T165" s="244"/>
      <c r="U165" s="244"/>
      <c r="V165" s="244"/>
      <c r="W165" s="244"/>
      <c r="X165" s="241">
        <f t="shared" si="326"/>
        <v>34093.082399999999</v>
      </c>
      <c r="Z165" s="242">
        <f>(3000*12)*1.02*1.02*1.02</f>
        <v>38203.488000000005</v>
      </c>
      <c r="AA165" s="244"/>
      <c r="AB165" s="244"/>
      <c r="AC165" s="244"/>
      <c r="AD165" s="244"/>
      <c r="AE165" s="244"/>
      <c r="AF165" s="241">
        <f t="shared" si="327"/>
        <v>38203.488000000005</v>
      </c>
      <c r="AH165" s="242">
        <f>(5700*12)*1.03*1.03*1.03</f>
        <v>74742.526799999992</v>
      </c>
      <c r="AI165" s="244"/>
      <c r="AJ165" s="244"/>
      <c r="AK165" s="244"/>
      <c r="AL165" s="244"/>
      <c r="AM165" s="244"/>
      <c r="AN165" s="241">
        <f t="shared" si="328"/>
        <v>74742.526799999992</v>
      </c>
      <c r="AP165" s="242">
        <v>32000</v>
      </c>
      <c r="AQ165" s="244"/>
      <c r="AR165" s="244"/>
      <c r="AS165" s="244"/>
      <c r="AT165" s="244"/>
      <c r="AU165" s="244"/>
      <c r="AV165" s="241">
        <f t="shared" si="329"/>
        <v>32000</v>
      </c>
      <c r="AX165" s="280">
        <f>5500+250+500+500</f>
        <v>6750</v>
      </c>
      <c r="AY165" s="244"/>
      <c r="AZ165" s="244"/>
      <c r="BA165" s="244"/>
      <c r="BB165" s="244"/>
      <c r="BC165" s="244"/>
      <c r="BD165" s="241">
        <f t="shared" si="330"/>
        <v>6750</v>
      </c>
      <c r="BF165" s="242">
        <v>7500</v>
      </c>
      <c r="BG165" s="244"/>
      <c r="BH165" s="244"/>
      <c r="BI165" s="244"/>
      <c r="BJ165" s="244"/>
      <c r="BK165" s="244"/>
      <c r="BL165" s="241">
        <f t="shared" si="331"/>
        <v>7500</v>
      </c>
      <c r="BN165" s="241">
        <f t="shared" si="332"/>
        <v>300179.984</v>
      </c>
      <c r="BO165" s="241">
        <f t="shared" si="323"/>
        <v>0</v>
      </c>
      <c r="BP165" s="241">
        <f t="shared" si="323"/>
        <v>0</v>
      </c>
      <c r="BQ165" s="241">
        <f t="shared" si="323"/>
        <v>0</v>
      </c>
      <c r="BR165" s="241">
        <f t="shared" si="323"/>
        <v>0</v>
      </c>
      <c r="BS165" s="241">
        <f t="shared" si="323"/>
        <v>0</v>
      </c>
      <c r="BT165" s="241">
        <f t="shared" si="333"/>
        <v>300179.984</v>
      </c>
    </row>
    <row r="166" spans="1:72" x14ac:dyDescent="0.25">
      <c r="A166" s="211" t="s">
        <v>270</v>
      </c>
      <c r="B166" s="244">
        <f>26500*1.03*1.03*1.03</f>
        <v>28957.265500000001</v>
      </c>
      <c r="C166" s="244"/>
      <c r="D166" s="244"/>
      <c r="E166" s="244"/>
      <c r="F166" s="244"/>
      <c r="G166" s="244"/>
      <c r="H166" s="241">
        <f t="shared" si="324"/>
        <v>28957.265500000001</v>
      </c>
      <c r="J166" s="244">
        <f>26500*1.04*1.03*1.03</f>
        <v>29238.403999999999</v>
      </c>
      <c r="K166" s="244"/>
      <c r="L166" s="244"/>
      <c r="M166" s="244"/>
      <c r="N166" s="244"/>
      <c r="O166" s="244"/>
      <c r="P166" s="241">
        <f t="shared" si="325"/>
        <v>29238.403999999999</v>
      </c>
      <c r="R166" s="244">
        <f>26500*1.03*1.03*1.03</f>
        <v>28957.265500000001</v>
      </c>
      <c r="S166" s="244"/>
      <c r="T166" s="244"/>
      <c r="U166" s="244"/>
      <c r="V166" s="244"/>
      <c r="W166" s="244"/>
      <c r="X166" s="241">
        <f t="shared" si="326"/>
        <v>28957.265500000001</v>
      </c>
      <c r="Z166" s="244">
        <f>26500*1.03*1.03*1.03</f>
        <v>28957.265500000001</v>
      </c>
      <c r="AA166" s="244"/>
      <c r="AB166" s="244"/>
      <c r="AC166" s="244"/>
      <c r="AD166" s="244"/>
      <c r="AE166" s="244"/>
      <c r="AF166" s="241">
        <f t="shared" si="327"/>
        <v>28957.265500000001</v>
      </c>
      <c r="AH166" s="244">
        <f>26500*1.03*1.03*1.03</f>
        <v>28957.265500000001</v>
      </c>
      <c r="AI166" s="244"/>
      <c r="AJ166" s="244"/>
      <c r="AK166" s="244"/>
      <c r="AL166" s="244"/>
      <c r="AM166" s="244"/>
      <c r="AN166" s="241">
        <f t="shared" si="328"/>
        <v>28957.265500000001</v>
      </c>
      <c r="AP166" s="244">
        <f>5000*1.03*1.03*1.03</f>
        <v>5463.6350000000002</v>
      </c>
      <c r="AQ166" s="244"/>
      <c r="AR166" s="244"/>
      <c r="AS166" s="244"/>
      <c r="AT166" s="244"/>
      <c r="AU166" s="244"/>
      <c r="AV166" s="241">
        <f t="shared" si="329"/>
        <v>5463.6350000000002</v>
      </c>
      <c r="AX166" s="244">
        <f>26500*1.03*1.03*1.03</f>
        <v>28957.265500000001</v>
      </c>
      <c r="AY166" s="244"/>
      <c r="AZ166" s="244"/>
      <c r="BA166" s="244"/>
      <c r="BB166" s="244"/>
      <c r="BC166" s="244"/>
      <c r="BD166" s="241">
        <f t="shared" si="330"/>
        <v>28957.265500000001</v>
      </c>
      <c r="BF166" s="244"/>
      <c r="BG166" s="244"/>
      <c r="BH166" s="244"/>
      <c r="BI166" s="244"/>
      <c r="BJ166" s="244"/>
      <c r="BK166" s="244"/>
      <c r="BL166" s="241">
        <f t="shared" si="331"/>
        <v>0</v>
      </c>
      <c r="BN166" s="241">
        <f t="shared" si="332"/>
        <v>179488.36650000003</v>
      </c>
      <c r="BO166" s="241">
        <f t="shared" si="323"/>
        <v>0</v>
      </c>
      <c r="BP166" s="241">
        <f t="shared" si="323"/>
        <v>0</v>
      </c>
      <c r="BQ166" s="241">
        <f t="shared" si="323"/>
        <v>0</v>
      </c>
      <c r="BR166" s="241">
        <f t="shared" si="323"/>
        <v>0</v>
      </c>
      <c r="BS166" s="241">
        <f t="shared" si="323"/>
        <v>0</v>
      </c>
      <c r="BT166" s="241">
        <f t="shared" si="333"/>
        <v>179488.36650000003</v>
      </c>
    </row>
    <row r="167" spans="1:72" x14ac:dyDescent="0.25">
      <c r="A167" s="211" t="s">
        <v>271</v>
      </c>
      <c r="B167" s="244">
        <f>22500+1000+1000+1000</f>
        <v>25500</v>
      </c>
      <c r="C167" s="244"/>
      <c r="D167" s="244"/>
      <c r="E167" s="244"/>
      <c r="F167" s="244"/>
      <c r="G167" s="244"/>
      <c r="H167" s="241">
        <f t="shared" si="324"/>
        <v>25500</v>
      </c>
      <c r="J167" s="244">
        <f>40000*1.05+1000+1000</f>
        <v>44000</v>
      </c>
      <c r="K167" s="244"/>
      <c r="L167" s="244"/>
      <c r="M167" s="244"/>
      <c r="N167" s="244"/>
      <c r="O167" s="244"/>
      <c r="P167" s="241">
        <f t="shared" si="325"/>
        <v>44000</v>
      </c>
      <c r="R167" s="244">
        <f>27500+1000+1000+1000</f>
        <v>30500</v>
      </c>
      <c r="S167" s="244"/>
      <c r="T167" s="244"/>
      <c r="U167" s="244"/>
      <c r="V167" s="244"/>
      <c r="W167" s="244"/>
      <c r="X167" s="241">
        <f t="shared" si="326"/>
        <v>30500</v>
      </c>
      <c r="Z167" s="244">
        <f>30000+1000+1000+1000</f>
        <v>33000</v>
      </c>
      <c r="AA167" s="244"/>
      <c r="AB167" s="244"/>
      <c r="AC167" s="244"/>
      <c r="AD167" s="244"/>
      <c r="AE167" s="244"/>
      <c r="AF167" s="241">
        <f t="shared" si="327"/>
        <v>33000</v>
      </c>
      <c r="AH167" s="244">
        <f>40000+1000+1000+1000</f>
        <v>43000</v>
      </c>
      <c r="AI167" s="244"/>
      <c r="AJ167" s="244"/>
      <c r="AK167" s="244"/>
      <c r="AL167" s="244"/>
      <c r="AM167" s="244"/>
      <c r="AN167" s="241">
        <f t="shared" si="328"/>
        <v>43000</v>
      </c>
      <c r="AP167" s="244">
        <v>15000</v>
      </c>
      <c r="AQ167" s="244"/>
      <c r="AR167" s="244"/>
      <c r="AS167" s="244"/>
      <c r="AT167" s="244"/>
      <c r="AU167" s="244"/>
      <c r="AV167" s="241">
        <f t="shared" si="329"/>
        <v>15000</v>
      </c>
      <c r="AX167" s="244">
        <f>20000+1000+1000+1000</f>
        <v>23000</v>
      </c>
      <c r="AY167" s="244"/>
      <c r="AZ167" s="244"/>
      <c r="BA167" s="244"/>
      <c r="BB167" s="244"/>
      <c r="BC167" s="244"/>
      <c r="BD167" s="241">
        <f t="shared" si="330"/>
        <v>23000</v>
      </c>
      <c r="BF167" s="244"/>
      <c r="BG167" s="244"/>
      <c r="BH167" s="244"/>
      <c r="BI167" s="244"/>
      <c r="BJ167" s="244"/>
      <c r="BK167" s="244"/>
      <c r="BL167" s="241">
        <f t="shared" si="331"/>
        <v>0</v>
      </c>
      <c r="BN167" s="241">
        <f t="shared" si="332"/>
        <v>214000</v>
      </c>
      <c r="BO167" s="241">
        <f t="shared" si="323"/>
        <v>0</v>
      </c>
      <c r="BP167" s="241">
        <f t="shared" si="323"/>
        <v>0</v>
      </c>
      <c r="BQ167" s="241">
        <f t="shared" si="323"/>
        <v>0</v>
      </c>
      <c r="BR167" s="241">
        <f t="shared" si="323"/>
        <v>0</v>
      </c>
      <c r="BS167" s="241">
        <f t="shared" si="323"/>
        <v>0</v>
      </c>
      <c r="BT167" s="241">
        <f t="shared" si="333"/>
        <v>214000</v>
      </c>
    </row>
    <row r="168" spans="1:72" x14ac:dyDescent="0.25">
      <c r="A168" s="211" t="s">
        <v>272</v>
      </c>
      <c r="B168" s="244">
        <f>(51*B17)+(70*12)</f>
        <v>48117</v>
      </c>
      <c r="C168" s="244"/>
      <c r="D168" s="244"/>
      <c r="E168" s="244"/>
      <c r="F168" s="244"/>
      <c r="G168" s="244"/>
      <c r="H168" s="241">
        <f t="shared" si="324"/>
        <v>48117</v>
      </c>
      <c r="J168" s="244">
        <f>(51*J17)+(70*12)</f>
        <v>129054</v>
      </c>
      <c r="K168" s="244"/>
      <c r="L168" s="244"/>
      <c r="M168" s="244"/>
      <c r="N168" s="244"/>
      <c r="O168" s="244"/>
      <c r="P168" s="241">
        <f t="shared" si="325"/>
        <v>129054</v>
      </c>
      <c r="R168" s="244">
        <f>(51*R17)+(70*12)</f>
        <v>53370</v>
      </c>
      <c r="S168" s="244"/>
      <c r="T168" s="244"/>
      <c r="U168" s="244"/>
      <c r="V168" s="244"/>
      <c r="W168" s="244"/>
      <c r="X168" s="241">
        <f t="shared" si="326"/>
        <v>53370</v>
      </c>
      <c r="Z168" s="244">
        <f>(51*Z17)+(70*12)</f>
        <v>61938</v>
      </c>
      <c r="AA168" s="244"/>
      <c r="AB168" s="244"/>
      <c r="AC168" s="244"/>
      <c r="AD168" s="244"/>
      <c r="AE168" s="244"/>
      <c r="AF168" s="241">
        <f t="shared" si="327"/>
        <v>61938</v>
      </c>
      <c r="AH168" s="244">
        <f>(51*AH17)+(70*12)</f>
        <v>128748</v>
      </c>
      <c r="AI168" s="244"/>
      <c r="AJ168" s="244"/>
      <c r="AK168" s="244"/>
      <c r="AL168" s="244"/>
      <c r="AM168" s="244"/>
      <c r="AN168" s="241">
        <f t="shared" si="328"/>
        <v>128748</v>
      </c>
      <c r="AP168" s="244">
        <f>(51*AP17)+(70*12)</f>
        <v>47454</v>
      </c>
      <c r="AQ168" s="244"/>
      <c r="AR168" s="244"/>
      <c r="AS168" s="244"/>
      <c r="AT168" s="244"/>
      <c r="AU168" s="244"/>
      <c r="AV168" s="241">
        <f t="shared" si="329"/>
        <v>47454</v>
      </c>
      <c r="AX168" s="244">
        <f>(51*AX17)+(70*12)</f>
        <v>10122</v>
      </c>
      <c r="AY168" s="244"/>
      <c r="AZ168" s="244"/>
      <c r="BA168" s="244"/>
      <c r="BB168" s="244"/>
      <c r="BC168" s="244"/>
      <c r="BD168" s="241">
        <f t="shared" si="330"/>
        <v>10122</v>
      </c>
      <c r="BF168" s="244"/>
      <c r="BG168" s="244"/>
      <c r="BH168" s="244"/>
      <c r="BI168" s="244"/>
      <c r="BJ168" s="244"/>
      <c r="BK168" s="244"/>
      <c r="BL168" s="241">
        <f t="shared" si="331"/>
        <v>0</v>
      </c>
      <c r="BN168" s="241">
        <f t="shared" si="332"/>
        <v>478803</v>
      </c>
      <c r="BO168" s="241">
        <f t="shared" si="323"/>
        <v>0</v>
      </c>
      <c r="BP168" s="241">
        <f t="shared" si="323"/>
        <v>0</v>
      </c>
      <c r="BQ168" s="241">
        <f t="shared" si="323"/>
        <v>0</v>
      </c>
      <c r="BR168" s="241">
        <f t="shared" si="323"/>
        <v>0</v>
      </c>
      <c r="BS168" s="241">
        <f t="shared" si="323"/>
        <v>0</v>
      </c>
      <c r="BT168" s="241">
        <f t="shared" si="333"/>
        <v>478803</v>
      </c>
    </row>
    <row r="169" spans="1:72" x14ac:dyDescent="0.25">
      <c r="A169" s="211" t="s">
        <v>273</v>
      </c>
      <c r="B169" s="244">
        <v>22500</v>
      </c>
      <c r="C169" s="244"/>
      <c r="D169" s="244"/>
      <c r="E169" s="244"/>
      <c r="F169" s="244"/>
      <c r="G169" s="244"/>
      <c r="H169" s="241">
        <f t="shared" si="324"/>
        <v>22500</v>
      </c>
      <c r="J169" s="244">
        <v>37000</v>
      </c>
      <c r="K169" s="244"/>
      <c r="L169" s="244"/>
      <c r="M169" s="244"/>
      <c r="N169" s="244"/>
      <c r="O169" s="244"/>
      <c r="P169" s="241">
        <f t="shared" si="325"/>
        <v>37000</v>
      </c>
      <c r="R169" s="244">
        <v>26700</v>
      </c>
      <c r="S169" s="244"/>
      <c r="T169" s="244"/>
      <c r="U169" s="244"/>
      <c r="V169" s="244"/>
      <c r="W169" s="244"/>
      <c r="X169" s="241">
        <f t="shared" si="326"/>
        <v>26700</v>
      </c>
      <c r="Z169" s="244">
        <v>29000</v>
      </c>
      <c r="AA169" s="244"/>
      <c r="AB169" s="244"/>
      <c r="AC169" s="244"/>
      <c r="AD169" s="244"/>
      <c r="AE169" s="244"/>
      <c r="AF169" s="241">
        <f t="shared" si="327"/>
        <v>29000</v>
      </c>
      <c r="AH169" s="244">
        <v>42000</v>
      </c>
      <c r="AI169" s="244"/>
      <c r="AJ169" s="244"/>
      <c r="AK169" s="244"/>
      <c r="AL169" s="244"/>
      <c r="AM169" s="244"/>
      <c r="AN169" s="241">
        <f t="shared" si="328"/>
        <v>42000</v>
      </c>
      <c r="AP169" s="244">
        <v>25000</v>
      </c>
      <c r="AQ169" s="244"/>
      <c r="AR169" s="244"/>
      <c r="AS169" s="244"/>
      <c r="AT169" s="244"/>
      <c r="AU169" s="244"/>
      <c r="AV169" s="241">
        <f t="shared" si="329"/>
        <v>25000</v>
      </c>
      <c r="AX169" s="244">
        <v>16000</v>
      </c>
      <c r="AY169" s="244"/>
      <c r="AZ169" s="244"/>
      <c r="BA169" s="244"/>
      <c r="BB169" s="244"/>
      <c r="BC169" s="244"/>
      <c r="BD169" s="241">
        <f t="shared" si="330"/>
        <v>16000</v>
      </c>
      <c r="BF169" s="244"/>
      <c r="BG169" s="244"/>
      <c r="BH169" s="244"/>
      <c r="BI169" s="244"/>
      <c r="BJ169" s="244"/>
      <c r="BK169" s="244"/>
      <c r="BL169" s="241">
        <f t="shared" si="331"/>
        <v>0</v>
      </c>
      <c r="BN169" s="241">
        <f t="shared" si="332"/>
        <v>198200</v>
      </c>
      <c r="BO169" s="241">
        <f t="shared" si="323"/>
        <v>0</v>
      </c>
      <c r="BP169" s="241">
        <f t="shared" si="323"/>
        <v>0</v>
      </c>
      <c r="BQ169" s="241">
        <f t="shared" si="323"/>
        <v>0</v>
      </c>
      <c r="BR169" s="241">
        <f t="shared" si="323"/>
        <v>0</v>
      </c>
      <c r="BS169" s="241">
        <f t="shared" si="323"/>
        <v>0</v>
      </c>
      <c r="BT169" s="241">
        <f t="shared" si="333"/>
        <v>198200</v>
      </c>
    </row>
    <row r="170" spans="1:72" x14ac:dyDescent="0.25">
      <c r="A170" s="212" t="s">
        <v>274</v>
      </c>
      <c r="B170" s="245">
        <f>B68*0.0125</f>
        <v>113267.8125</v>
      </c>
      <c r="C170" s="245"/>
      <c r="D170" s="245"/>
      <c r="E170" s="245"/>
      <c r="F170" s="245"/>
      <c r="G170" s="245"/>
      <c r="H170" s="241">
        <f t="shared" si="324"/>
        <v>113267.8125</v>
      </c>
      <c r="J170" s="245">
        <f>J68*0.0125</f>
        <v>307179.375</v>
      </c>
      <c r="K170" s="245"/>
      <c r="L170" s="245"/>
      <c r="M170" s="245"/>
      <c r="N170" s="245"/>
      <c r="O170" s="245"/>
      <c r="P170" s="241">
        <f t="shared" si="325"/>
        <v>307179.375</v>
      </c>
      <c r="R170" s="245">
        <f>R68*0.0125</f>
        <v>125853.125</v>
      </c>
      <c r="S170" s="245"/>
      <c r="T170" s="245"/>
      <c r="U170" s="245"/>
      <c r="V170" s="245"/>
      <c r="W170" s="245"/>
      <c r="X170" s="241">
        <f t="shared" si="326"/>
        <v>125853.125</v>
      </c>
      <c r="Z170" s="245">
        <f>Z68*0.0125</f>
        <v>146380.625</v>
      </c>
      <c r="AA170" s="245"/>
      <c r="AB170" s="245"/>
      <c r="AC170" s="245"/>
      <c r="AD170" s="245"/>
      <c r="AE170" s="245"/>
      <c r="AF170" s="241">
        <f t="shared" si="327"/>
        <v>146380.625</v>
      </c>
      <c r="AH170" s="245">
        <f>AH68*0.0125</f>
        <v>306446.25</v>
      </c>
      <c r="AI170" s="245"/>
      <c r="AJ170" s="245"/>
      <c r="AK170" s="245"/>
      <c r="AL170" s="245"/>
      <c r="AM170" s="245"/>
      <c r="AN170" s="241">
        <f t="shared" si="328"/>
        <v>306446.25</v>
      </c>
      <c r="AP170" s="245">
        <f>AP68*0.0125</f>
        <v>111679.375</v>
      </c>
      <c r="AQ170" s="245"/>
      <c r="AR170" s="245"/>
      <c r="AS170" s="245"/>
      <c r="AT170" s="245"/>
      <c r="AU170" s="245"/>
      <c r="AV170" s="241">
        <f t="shared" si="329"/>
        <v>111679.375</v>
      </c>
      <c r="AX170" s="245">
        <f>AX68*0.0125</f>
        <v>22238.125</v>
      </c>
      <c r="AY170" s="245"/>
      <c r="AZ170" s="245"/>
      <c r="BA170" s="245"/>
      <c r="BB170" s="245"/>
      <c r="BC170" s="245"/>
      <c r="BD170" s="241">
        <f t="shared" si="330"/>
        <v>22238.125</v>
      </c>
      <c r="BF170" s="245"/>
      <c r="BG170" s="245"/>
      <c r="BH170" s="245"/>
      <c r="BI170" s="245"/>
      <c r="BJ170" s="245"/>
      <c r="BK170" s="245"/>
      <c r="BL170" s="241">
        <f t="shared" si="331"/>
        <v>0</v>
      </c>
      <c r="BN170" s="241">
        <f t="shared" si="332"/>
        <v>1133044.6875</v>
      </c>
      <c r="BO170" s="241">
        <f t="shared" si="323"/>
        <v>0</v>
      </c>
      <c r="BP170" s="241">
        <f t="shared" si="323"/>
        <v>0</v>
      </c>
      <c r="BQ170" s="241">
        <f t="shared" si="323"/>
        <v>0</v>
      </c>
      <c r="BR170" s="241">
        <f t="shared" si="323"/>
        <v>0</v>
      </c>
      <c r="BS170" s="241">
        <f t="shared" si="323"/>
        <v>0</v>
      </c>
      <c r="BT170" s="241">
        <f t="shared" si="333"/>
        <v>1133044.6875</v>
      </c>
    </row>
    <row r="171" spans="1:72" x14ac:dyDescent="0.25">
      <c r="A171" s="213"/>
      <c r="B171" s="258">
        <f>SUM(B162:B170)</f>
        <v>753116.46799999999</v>
      </c>
      <c r="C171" s="258">
        <f t="shared" ref="C171:H171" si="334">SUM(C162:C170)</f>
        <v>0</v>
      </c>
      <c r="D171" s="258">
        <f t="shared" si="334"/>
        <v>0</v>
      </c>
      <c r="E171" s="258">
        <f t="shared" si="334"/>
        <v>0</v>
      </c>
      <c r="F171" s="258">
        <f t="shared" si="334"/>
        <v>0</v>
      </c>
      <c r="G171" s="258">
        <f t="shared" si="334"/>
        <v>0</v>
      </c>
      <c r="H171" s="258">
        <f t="shared" si="334"/>
        <v>753116.46799999999</v>
      </c>
      <c r="J171" s="258">
        <f>SUM(J162:J170)</f>
        <v>1919633.7658000002</v>
      </c>
      <c r="K171" s="258">
        <f t="shared" ref="K171:P171" si="335">SUM(K162:K170)</f>
        <v>0</v>
      </c>
      <c r="L171" s="258">
        <f t="shared" si="335"/>
        <v>0</v>
      </c>
      <c r="M171" s="258">
        <f t="shared" si="335"/>
        <v>0</v>
      </c>
      <c r="N171" s="258">
        <f t="shared" si="335"/>
        <v>0</v>
      </c>
      <c r="O171" s="258">
        <f t="shared" si="335"/>
        <v>0</v>
      </c>
      <c r="P171" s="258">
        <f t="shared" si="335"/>
        <v>1919633.7658000002</v>
      </c>
      <c r="R171" s="258">
        <f>SUM(R162:R170)</f>
        <v>872548.98117967986</v>
      </c>
      <c r="S171" s="258">
        <f t="shared" ref="S171:X171" si="336">SUM(S162:S170)</f>
        <v>0</v>
      </c>
      <c r="T171" s="258">
        <f t="shared" si="336"/>
        <v>0</v>
      </c>
      <c r="U171" s="258">
        <f t="shared" si="336"/>
        <v>0</v>
      </c>
      <c r="V171" s="258">
        <f t="shared" si="336"/>
        <v>0</v>
      </c>
      <c r="W171" s="258">
        <f t="shared" si="336"/>
        <v>0</v>
      </c>
      <c r="X171" s="258">
        <f t="shared" si="336"/>
        <v>872548.98117967986</v>
      </c>
      <c r="Z171" s="258">
        <f>SUM(Z162:Z170)</f>
        <v>959369.59849999996</v>
      </c>
      <c r="AA171" s="258">
        <f t="shared" ref="AA171:AF171" si="337">SUM(AA162:AA170)</f>
        <v>0</v>
      </c>
      <c r="AB171" s="258">
        <f t="shared" si="337"/>
        <v>0</v>
      </c>
      <c r="AC171" s="258">
        <f t="shared" si="337"/>
        <v>0</v>
      </c>
      <c r="AD171" s="258">
        <f t="shared" si="337"/>
        <v>0</v>
      </c>
      <c r="AE171" s="258">
        <f t="shared" si="337"/>
        <v>0</v>
      </c>
      <c r="AF171" s="258">
        <f t="shared" si="337"/>
        <v>959369.59849999996</v>
      </c>
      <c r="AH171" s="258">
        <f>SUM(AH162:AH170)</f>
        <v>1918980.1622999997</v>
      </c>
      <c r="AI171" s="258">
        <f t="shared" ref="AI171:AN171" si="338">SUM(AI162:AI170)</f>
        <v>0</v>
      </c>
      <c r="AJ171" s="258">
        <f t="shared" si="338"/>
        <v>0</v>
      </c>
      <c r="AK171" s="258">
        <f t="shared" si="338"/>
        <v>0</v>
      </c>
      <c r="AL171" s="258">
        <f t="shared" si="338"/>
        <v>0</v>
      </c>
      <c r="AM171" s="258">
        <f t="shared" si="338"/>
        <v>0</v>
      </c>
      <c r="AN171" s="258">
        <f t="shared" si="338"/>
        <v>1918980.1622999997</v>
      </c>
      <c r="AP171" s="258">
        <f>SUM(AP162:AP170)</f>
        <v>709292.47</v>
      </c>
      <c r="AQ171" s="258">
        <f t="shared" ref="AQ171:AV171" si="339">SUM(AQ162:AQ170)</f>
        <v>0</v>
      </c>
      <c r="AR171" s="258">
        <f t="shared" si="339"/>
        <v>0</v>
      </c>
      <c r="AS171" s="258">
        <f t="shared" si="339"/>
        <v>0</v>
      </c>
      <c r="AT171" s="258">
        <f t="shared" si="339"/>
        <v>0</v>
      </c>
      <c r="AU171" s="258">
        <f t="shared" si="339"/>
        <v>0</v>
      </c>
      <c r="AV171" s="258">
        <f t="shared" si="339"/>
        <v>709292.47</v>
      </c>
      <c r="AX171" s="258">
        <f>SUM(AX162:AX170)</f>
        <v>346195.37049999996</v>
      </c>
      <c r="AY171" s="258">
        <f t="shared" ref="AY171:BD171" si="340">SUM(AY162:AY170)</f>
        <v>0</v>
      </c>
      <c r="AZ171" s="258">
        <f t="shared" si="340"/>
        <v>0</v>
      </c>
      <c r="BA171" s="258">
        <f t="shared" si="340"/>
        <v>0</v>
      </c>
      <c r="BB171" s="258">
        <f t="shared" si="340"/>
        <v>0</v>
      </c>
      <c r="BC171" s="258">
        <f t="shared" si="340"/>
        <v>0</v>
      </c>
      <c r="BD171" s="258">
        <f t="shared" si="340"/>
        <v>346195.37049999996</v>
      </c>
      <c r="BF171" s="258">
        <f>SUM(BF162:BF170)</f>
        <v>7500</v>
      </c>
      <c r="BG171" s="258">
        <f t="shared" ref="BG171:BL171" si="341">SUM(BG162:BG170)</f>
        <v>0</v>
      </c>
      <c r="BH171" s="258">
        <f t="shared" si="341"/>
        <v>0</v>
      </c>
      <c r="BI171" s="258">
        <f t="shared" si="341"/>
        <v>0</v>
      </c>
      <c r="BJ171" s="258">
        <f t="shared" si="341"/>
        <v>0</v>
      </c>
      <c r="BK171" s="258">
        <f t="shared" si="341"/>
        <v>0</v>
      </c>
      <c r="BL171" s="258">
        <f t="shared" si="341"/>
        <v>7500</v>
      </c>
      <c r="BN171" s="258">
        <f>SUM(BN162:BN170)</f>
        <v>7486636.8162796814</v>
      </c>
      <c r="BO171" s="258">
        <f t="shared" ref="BO171:BT171" si="342">SUM(BO162:BO170)</f>
        <v>0</v>
      </c>
      <c r="BP171" s="258">
        <f t="shared" si="342"/>
        <v>0</v>
      </c>
      <c r="BQ171" s="258">
        <f t="shared" si="342"/>
        <v>0</v>
      </c>
      <c r="BR171" s="258">
        <f t="shared" si="342"/>
        <v>0</v>
      </c>
      <c r="BS171" s="258">
        <f t="shared" si="342"/>
        <v>0</v>
      </c>
      <c r="BT171" s="258">
        <f t="shared" si="342"/>
        <v>7486636.8162796814</v>
      </c>
    </row>
    <row r="172" spans="1:72" x14ac:dyDescent="0.25">
      <c r="B172" s="259"/>
      <c r="C172" s="259"/>
      <c r="D172" s="259"/>
      <c r="E172" s="259"/>
      <c r="F172" s="259"/>
      <c r="G172" s="259"/>
      <c r="H172" s="259"/>
      <c r="J172" s="259"/>
      <c r="K172" s="259"/>
      <c r="L172" s="259"/>
      <c r="M172" s="259"/>
      <c r="N172" s="259"/>
      <c r="O172" s="259"/>
      <c r="P172" s="259"/>
      <c r="R172" s="259"/>
      <c r="S172" s="259"/>
      <c r="T172" s="259"/>
      <c r="U172" s="259"/>
      <c r="V172" s="259"/>
      <c r="W172" s="259"/>
      <c r="X172" s="259"/>
      <c r="Z172" s="259"/>
      <c r="AA172" s="259"/>
      <c r="AB172" s="259"/>
      <c r="AC172" s="259"/>
      <c r="AD172" s="259"/>
      <c r="AE172" s="259"/>
      <c r="AF172" s="259"/>
      <c r="AH172" s="259"/>
      <c r="AI172" s="259"/>
      <c r="AJ172" s="259"/>
      <c r="AK172" s="259"/>
      <c r="AL172" s="259"/>
      <c r="AM172" s="259"/>
      <c r="AN172" s="259"/>
      <c r="AP172" s="259"/>
      <c r="AQ172" s="259"/>
      <c r="AR172" s="259"/>
      <c r="AS172" s="259"/>
      <c r="AT172" s="259"/>
      <c r="AU172" s="259"/>
      <c r="AV172" s="259"/>
      <c r="AX172" s="259"/>
      <c r="AY172" s="259"/>
      <c r="AZ172" s="259"/>
      <c r="BA172" s="259"/>
      <c r="BB172" s="259"/>
      <c r="BC172" s="259"/>
      <c r="BD172" s="259"/>
      <c r="BF172" s="259"/>
      <c r="BG172" s="259"/>
      <c r="BH172" s="259"/>
      <c r="BI172" s="259"/>
      <c r="BJ172" s="259"/>
      <c r="BK172" s="259"/>
      <c r="BL172" s="259"/>
      <c r="BN172" s="259"/>
      <c r="BO172" s="259"/>
      <c r="BP172" s="259"/>
      <c r="BQ172" s="259"/>
      <c r="BR172" s="259"/>
      <c r="BS172" s="259"/>
      <c r="BT172" s="259"/>
    </row>
    <row r="173" spans="1:72" x14ac:dyDescent="0.25">
      <c r="A173" s="208" t="s">
        <v>336</v>
      </c>
      <c r="B173" s="260" t="s">
        <v>309</v>
      </c>
      <c r="C173" s="260" t="s">
        <v>310</v>
      </c>
      <c r="D173" s="260" t="s">
        <v>311</v>
      </c>
      <c r="E173" s="260" t="str">
        <f>E161</f>
        <v>Other</v>
      </c>
      <c r="F173" s="260" t="s">
        <v>315</v>
      </c>
      <c r="G173" s="260" t="s">
        <v>314</v>
      </c>
      <c r="H173" s="260" t="str">
        <f>H161</f>
        <v>Horizon</v>
      </c>
      <c r="J173" s="260" t="s">
        <v>309</v>
      </c>
      <c r="K173" s="260" t="s">
        <v>310</v>
      </c>
      <c r="L173" s="260" t="s">
        <v>311</v>
      </c>
      <c r="M173" s="260" t="str">
        <f>M161</f>
        <v>Other</v>
      </c>
      <c r="N173" s="260" t="s">
        <v>315</v>
      </c>
      <c r="O173" s="260" t="s">
        <v>314</v>
      </c>
      <c r="P173" s="260" t="str">
        <f>P161</f>
        <v>Cadence</v>
      </c>
      <c r="R173" s="260" t="s">
        <v>309</v>
      </c>
      <c r="S173" s="260" t="s">
        <v>310</v>
      </c>
      <c r="T173" s="260" t="s">
        <v>311</v>
      </c>
      <c r="U173" s="260" t="str">
        <f>U161</f>
        <v>Other</v>
      </c>
      <c r="V173" s="260" t="s">
        <v>315</v>
      </c>
      <c r="W173" s="260" t="s">
        <v>314</v>
      </c>
      <c r="X173" s="260" t="str">
        <f>X161</f>
        <v>St. Rose</v>
      </c>
      <c r="Z173" s="260" t="s">
        <v>309</v>
      </c>
      <c r="AA173" s="260" t="s">
        <v>310</v>
      </c>
      <c r="AB173" s="260" t="s">
        <v>311</v>
      </c>
      <c r="AC173" s="260" t="str">
        <f>AC161</f>
        <v>Other</v>
      </c>
      <c r="AD173" s="260" t="s">
        <v>315</v>
      </c>
      <c r="AE173" s="260" t="s">
        <v>314</v>
      </c>
      <c r="AF173" s="260" t="str">
        <f>AF161</f>
        <v>Inspirada</v>
      </c>
      <c r="AH173" s="260" t="s">
        <v>309</v>
      </c>
      <c r="AI173" s="260" t="s">
        <v>310</v>
      </c>
      <c r="AJ173" s="260" t="s">
        <v>311</v>
      </c>
      <c r="AK173" s="260" t="str">
        <f>AK161</f>
        <v>Other</v>
      </c>
      <c r="AL173" s="260" t="s">
        <v>315</v>
      </c>
      <c r="AM173" s="260" t="s">
        <v>314</v>
      </c>
      <c r="AN173" s="260" t="str">
        <f>AN161</f>
        <v>Sloan</v>
      </c>
      <c r="AP173" s="260" t="s">
        <v>309</v>
      </c>
      <c r="AQ173" s="260" t="s">
        <v>310</v>
      </c>
      <c r="AR173" s="260" t="s">
        <v>311</v>
      </c>
      <c r="AS173" s="260" t="str">
        <f>AS161</f>
        <v>Other</v>
      </c>
      <c r="AT173" s="260" t="s">
        <v>315</v>
      </c>
      <c r="AU173" s="260" t="s">
        <v>314</v>
      </c>
      <c r="AV173" s="260" t="str">
        <f>AV161</f>
        <v>Springs</v>
      </c>
      <c r="AX173" s="260" t="s">
        <v>309</v>
      </c>
      <c r="AY173" s="260" t="s">
        <v>310</v>
      </c>
      <c r="AZ173" s="260" t="s">
        <v>311</v>
      </c>
      <c r="BA173" s="260" t="str">
        <f>BA161</f>
        <v>Other</v>
      </c>
      <c r="BB173" s="260" t="s">
        <v>315</v>
      </c>
      <c r="BC173" s="260" t="s">
        <v>314</v>
      </c>
      <c r="BD173" s="260" t="str">
        <f>BD161</f>
        <v>Virtual</v>
      </c>
      <c r="BF173" s="260" t="s">
        <v>309</v>
      </c>
      <c r="BG173" s="260" t="s">
        <v>310</v>
      </c>
      <c r="BH173" s="260" t="s">
        <v>311</v>
      </c>
      <c r="BI173" s="260" t="str">
        <f>BI161</f>
        <v>Other</v>
      </c>
      <c r="BJ173" s="260" t="s">
        <v>315</v>
      </c>
      <c r="BK173" s="260" t="s">
        <v>314</v>
      </c>
      <c r="BL173" s="260" t="str">
        <f>BL161</f>
        <v>Central</v>
      </c>
      <c r="BN173" s="260" t="s">
        <v>309</v>
      </c>
      <c r="BO173" s="260" t="s">
        <v>310</v>
      </c>
      <c r="BP173" s="260" t="s">
        <v>311</v>
      </c>
      <c r="BQ173" s="260" t="str">
        <f>BQ161</f>
        <v>Other</v>
      </c>
      <c r="BR173" s="260" t="s">
        <v>315</v>
      </c>
      <c r="BS173" s="260" t="s">
        <v>314</v>
      </c>
      <c r="BT173" s="260" t="str">
        <f>BT161</f>
        <v>System</v>
      </c>
    </row>
    <row r="174" spans="1:72" x14ac:dyDescent="0.25">
      <c r="A174" s="214" t="s">
        <v>275</v>
      </c>
      <c r="B174" s="241">
        <f>((1400*12)+(250*12))*1.02*1.015*1.015</f>
        <v>20806.424099999997</v>
      </c>
      <c r="C174" s="257"/>
      <c r="D174" s="257"/>
      <c r="E174" s="257"/>
      <c r="F174" s="257"/>
      <c r="G174" s="257"/>
      <c r="H174" s="241">
        <f>SUM(B174:G174)</f>
        <v>20806.424099999997</v>
      </c>
      <c r="J174" s="241">
        <f>((550*12)+(1300*12))*1.02*1.01*1.01</f>
        <v>23099.144399999997</v>
      </c>
      <c r="K174" s="257"/>
      <c r="L174" s="257"/>
      <c r="M174" s="257"/>
      <c r="N174" s="257"/>
      <c r="O174" s="257"/>
      <c r="P174" s="241">
        <f>SUM(J174:O174)</f>
        <v>23099.144399999997</v>
      </c>
      <c r="R174" s="241">
        <f>((300*12)+(1000*12))*1.02*1.01*1.01</f>
        <v>16231.831200000001</v>
      </c>
      <c r="S174" s="257"/>
      <c r="T174" s="257"/>
      <c r="U174" s="257"/>
      <c r="V174" s="257"/>
      <c r="W174" s="257"/>
      <c r="X174" s="241">
        <f>SUM(R174:W174)</f>
        <v>16231.831200000001</v>
      </c>
      <c r="Z174" s="241">
        <f>((250*12)+(2200*12))*1.02*1.01*1.01</f>
        <v>30590.7588</v>
      </c>
      <c r="AA174" s="257"/>
      <c r="AB174" s="257"/>
      <c r="AC174" s="257"/>
      <c r="AD174" s="257"/>
      <c r="AE174" s="257"/>
      <c r="AF174" s="241">
        <f>SUM(Z174:AE174)</f>
        <v>30590.7588</v>
      </c>
      <c r="AH174" s="241">
        <f>((500*12)+(1200*12))*1.02*1.01*1.01</f>
        <v>21226.240800000003</v>
      </c>
      <c r="AI174" s="257"/>
      <c r="AJ174" s="257"/>
      <c r="AK174" s="257"/>
      <c r="AL174" s="257"/>
      <c r="AM174" s="257"/>
      <c r="AN174" s="241">
        <f>SUM(AH174:AM174)</f>
        <v>21226.240800000003</v>
      </c>
      <c r="AP174" s="241">
        <f>12000*1.01*1.01</f>
        <v>12241.2</v>
      </c>
      <c r="AQ174" s="257"/>
      <c r="AR174" s="257"/>
      <c r="AS174" s="257"/>
      <c r="AT174" s="257"/>
      <c r="AU174" s="257"/>
      <c r="AV174" s="241">
        <f>SUM(AP174:AU174)</f>
        <v>12241.2</v>
      </c>
      <c r="AX174" s="241"/>
      <c r="AY174" s="257"/>
      <c r="AZ174" s="257"/>
      <c r="BA174" s="257"/>
      <c r="BB174" s="257"/>
      <c r="BC174" s="257"/>
      <c r="BD174" s="241">
        <f>SUM(AX174:BC174)</f>
        <v>0</v>
      </c>
      <c r="BF174" s="241"/>
      <c r="BG174" s="241"/>
      <c r="BH174" s="241"/>
      <c r="BI174" s="241"/>
      <c r="BJ174" s="241"/>
      <c r="BK174" s="241"/>
      <c r="BL174" s="241">
        <f>SUM(BF174:BK174)</f>
        <v>0</v>
      </c>
      <c r="BN174" s="241">
        <f>B174+J174+R174+Z174+AH174+AP174+AX174+BF174</f>
        <v>124195.59929999999</v>
      </c>
      <c r="BO174" s="241">
        <f t="shared" ref="BO174:BS189" si="343">C174+K174+S174+AA174+AI174+AQ174+AY174+BG174</f>
        <v>0</v>
      </c>
      <c r="BP174" s="241">
        <f t="shared" si="343"/>
        <v>0</v>
      </c>
      <c r="BQ174" s="241">
        <f t="shared" si="343"/>
        <v>0</v>
      </c>
      <c r="BR174" s="241">
        <f t="shared" si="343"/>
        <v>0</v>
      </c>
      <c r="BS174" s="241">
        <f t="shared" si="343"/>
        <v>0</v>
      </c>
      <c r="BT174" s="241">
        <f>SUM(BN174:BS174)</f>
        <v>124195.59929999999</v>
      </c>
    </row>
    <row r="175" spans="1:72" x14ac:dyDescent="0.25">
      <c r="A175" s="211" t="s">
        <v>276</v>
      </c>
      <c r="B175" s="241">
        <f>1000+100+100+100</f>
        <v>1300</v>
      </c>
      <c r="C175" s="244"/>
      <c r="D175" s="244"/>
      <c r="E175" s="244"/>
      <c r="F175" s="244"/>
      <c r="G175" s="244"/>
      <c r="H175" s="241">
        <f t="shared" ref="H175:H192" si="344">SUM(B175:G175)</f>
        <v>1300</v>
      </c>
      <c r="J175" s="241">
        <f>2000+100+100+150</f>
        <v>2350</v>
      </c>
      <c r="K175" s="244"/>
      <c r="L175" s="244"/>
      <c r="M175" s="244"/>
      <c r="N175" s="244"/>
      <c r="O175" s="244"/>
      <c r="P175" s="241">
        <f t="shared" ref="P175:P192" si="345">SUM(J175:O175)</f>
        <v>2350</v>
      </c>
      <c r="R175" s="241">
        <f>1250+100+100+150</f>
        <v>1600</v>
      </c>
      <c r="S175" s="244"/>
      <c r="T175" s="244"/>
      <c r="U175" s="244"/>
      <c r="V175" s="244"/>
      <c r="W175" s="244"/>
      <c r="X175" s="241">
        <f t="shared" ref="X175:X192" si="346">SUM(R175:W175)</f>
        <v>1600</v>
      </c>
      <c r="Z175" s="241">
        <f>1250+50+50+75</f>
        <v>1425</v>
      </c>
      <c r="AA175" s="244"/>
      <c r="AB175" s="244"/>
      <c r="AC175" s="244"/>
      <c r="AD175" s="244"/>
      <c r="AE175" s="244"/>
      <c r="AF175" s="241">
        <f t="shared" ref="AF175:AF192" si="347">SUM(Z175:AE175)</f>
        <v>1425</v>
      </c>
      <c r="AH175" s="241">
        <f>2000+100+100+100</f>
        <v>2300</v>
      </c>
      <c r="AI175" s="244"/>
      <c r="AJ175" s="244"/>
      <c r="AK175" s="244"/>
      <c r="AL175" s="244"/>
      <c r="AM175" s="244"/>
      <c r="AN175" s="241">
        <f t="shared" ref="AN175:AN192" si="348">SUM(AH175:AM175)</f>
        <v>2300</v>
      </c>
      <c r="AP175" s="241">
        <f>1500+150+150</f>
        <v>1800</v>
      </c>
      <c r="AQ175" s="244"/>
      <c r="AR175" s="244"/>
      <c r="AS175" s="244"/>
      <c r="AT175" s="244"/>
      <c r="AU175" s="244"/>
      <c r="AV175" s="241">
        <f t="shared" ref="AV175:AV192" si="349">SUM(AP175:AU175)</f>
        <v>1800</v>
      </c>
      <c r="AX175" s="241">
        <f>2000+250+250+250</f>
        <v>2750</v>
      </c>
      <c r="AY175" s="244"/>
      <c r="AZ175" s="244"/>
      <c r="BA175" s="244"/>
      <c r="BB175" s="244"/>
      <c r="BC175" s="244"/>
      <c r="BD175" s="241">
        <f t="shared" ref="BD175:BD192" si="350">SUM(AX175:BC175)</f>
        <v>2750</v>
      </c>
      <c r="BF175" s="241"/>
      <c r="BG175" s="242"/>
      <c r="BH175" s="242"/>
      <c r="BI175" s="242"/>
      <c r="BJ175" s="242"/>
      <c r="BK175" s="242"/>
      <c r="BL175" s="241">
        <f t="shared" ref="BL175:BL192" si="351">SUM(BF175:BK175)</f>
        <v>0</v>
      </c>
      <c r="BN175" s="241">
        <f t="shared" ref="BN175:BS193" si="352">B175+J175+R175+Z175+AH175+AP175+AX175+BF175</f>
        <v>13525</v>
      </c>
      <c r="BO175" s="241">
        <f t="shared" si="343"/>
        <v>0</v>
      </c>
      <c r="BP175" s="241">
        <f t="shared" si="343"/>
        <v>0</v>
      </c>
      <c r="BQ175" s="241">
        <f t="shared" si="343"/>
        <v>0</v>
      </c>
      <c r="BR175" s="241">
        <f t="shared" si="343"/>
        <v>0</v>
      </c>
      <c r="BS175" s="241">
        <f t="shared" si="343"/>
        <v>0</v>
      </c>
      <c r="BT175" s="241">
        <f t="shared" ref="BT175:BT192" si="353">SUM(BN175:BS175)</f>
        <v>13525</v>
      </c>
    </row>
    <row r="176" spans="1:72" x14ac:dyDescent="0.25">
      <c r="A176" s="211" t="s">
        <v>277</v>
      </c>
      <c r="B176" s="241">
        <f>5000+500+500+500</f>
        <v>6500</v>
      </c>
      <c r="C176" s="244"/>
      <c r="D176" s="244"/>
      <c r="E176" s="244"/>
      <c r="F176" s="244"/>
      <c r="G176" s="244"/>
      <c r="H176" s="241">
        <f t="shared" si="344"/>
        <v>6500</v>
      </c>
      <c r="J176" s="241">
        <f>5000+500+500+500</f>
        <v>6500</v>
      </c>
      <c r="K176" s="244"/>
      <c r="L176" s="244"/>
      <c r="M176" s="244"/>
      <c r="N176" s="244"/>
      <c r="O176" s="244"/>
      <c r="P176" s="241">
        <f t="shared" si="345"/>
        <v>6500</v>
      </c>
      <c r="R176" s="241">
        <f>5000+500+500+500</f>
        <v>6500</v>
      </c>
      <c r="S176" s="244"/>
      <c r="T176" s="244"/>
      <c r="U176" s="244"/>
      <c r="V176" s="244"/>
      <c r="W176" s="244"/>
      <c r="X176" s="241">
        <f t="shared" si="346"/>
        <v>6500</v>
      </c>
      <c r="Z176" s="241">
        <f>5000+500+500+500</f>
        <v>6500</v>
      </c>
      <c r="AA176" s="244"/>
      <c r="AB176" s="244"/>
      <c r="AC176" s="244"/>
      <c r="AD176" s="244"/>
      <c r="AE176" s="244"/>
      <c r="AF176" s="241">
        <f t="shared" si="347"/>
        <v>6500</v>
      </c>
      <c r="AH176" s="241">
        <f>5000+500+500+500</f>
        <v>6500</v>
      </c>
      <c r="AI176" s="244"/>
      <c r="AJ176" s="244"/>
      <c r="AK176" s="244"/>
      <c r="AL176" s="244"/>
      <c r="AM176" s="244"/>
      <c r="AN176" s="241">
        <f t="shared" si="348"/>
        <v>6500</v>
      </c>
      <c r="AP176" s="241">
        <f>5000+500+500+500</f>
        <v>6500</v>
      </c>
      <c r="AQ176" s="244"/>
      <c r="AR176" s="244"/>
      <c r="AS176" s="244"/>
      <c r="AT176" s="244"/>
      <c r="AU176" s="244"/>
      <c r="AV176" s="241">
        <f t="shared" si="349"/>
        <v>6500</v>
      </c>
      <c r="AX176" s="241">
        <f>5000+500+500+500</f>
        <v>6500</v>
      </c>
      <c r="AY176" s="244"/>
      <c r="AZ176" s="244"/>
      <c r="BA176" s="244"/>
      <c r="BB176" s="244"/>
      <c r="BC176" s="244"/>
      <c r="BD176" s="241">
        <f t="shared" si="350"/>
        <v>6500</v>
      </c>
      <c r="BF176" s="241"/>
      <c r="BG176" s="242"/>
      <c r="BH176" s="242"/>
      <c r="BI176" s="242"/>
      <c r="BJ176" s="242"/>
      <c r="BK176" s="242"/>
      <c r="BL176" s="241">
        <f t="shared" si="351"/>
        <v>0</v>
      </c>
      <c r="BN176" s="241">
        <f t="shared" si="352"/>
        <v>45500</v>
      </c>
      <c r="BO176" s="241">
        <f t="shared" si="343"/>
        <v>0</v>
      </c>
      <c r="BP176" s="241">
        <f t="shared" si="343"/>
        <v>0</v>
      </c>
      <c r="BQ176" s="241">
        <f t="shared" si="343"/>
        <v>0</v>
      </c>
      <c r="BR176" s="241">
        <f t="shared" si="343"/>
        <v>0</v>
      </c>
      <c r="BS176" s="241">
        <f t="shared" si="343"/>
        <v>0</v>
      </c>
      <c r="BT176" s="241">
        <f t="shared" si="353"/>
        <v>45500</v>
      </c>
    </row>
    <row r="177" spans="1:72" x14ac:dyDescent="0.25">
      <c r="A177" s="211" t="s">
        <v>278</v>
      </c>
      <c r="B177" s="241">
        <f>45000*1.03*1.03*1.03</f>
        <v>49172.715000000004</v>
      </c>
      <c r="C177" s="244"/>
      <c r="D177" s="244"/>
      <c r="E177" s="244"/>
      <c r="F177" s="244"/>
      <c r="G177" s="244"/>
      <c r="H177" s="241">
        <f t="shared" si="344"/>
        <v>49172.715000000004</v>
      </c>
      <c r="J177" s="241">
        <f>100000*1.03*1.03*1.03</f>
        <v>109272.7</v>
      </c>
      <c r="K177" s="244"/>
      <c r="L177" s="244"/>
      <c r="M177" s="244"/>
      <c r="N177" s="244"/>
      <c r="O177" s="244"/>
      <c r="P177" s="241">
        <f t="shared" si="345"/>
        <v>109272.7</v>
      </c>
      <c r="R177" s="241">
        <f>50000*1.04*1.03*1.03</f>
        <v>55166.8</v>
      </c>
      <c r="S177" s="244"/>
      <c r="T177" s="244"/>
      <c r="U177" s="244"/>
      <c r="V177" s="244"/>
      <c r="W177" s="244"/>
      <c r="X177" s="241">
        <f t="shared" si="346"/>
        <v>55166.8</v>
      </c>
      <c r="Z177" s="241">
        <f>60000*1.03*1.03*1.03</f>
        <v>65563.62</v>
      </c>
      <c r="AA177" s="244"/>
      <c r="AB177" s="244"/>
      <c r="AC177" s="244"/>
      <c r="AD177" s="244"/>
      <c r="AE177" s="244"/>
      <c r="AF177" s="241">
        <f t="shared" si="347"/>
        <v>65563.62</v>
      </c>
      <c r="AH177" s="241">
        <f>100000*1.03*1.03*1.03</f>
        <v>109272.7</v>
      </c>
      <c r="AI177" s="244"/>
      <c r="AJ177" s="244"/>
      <c r="AK177" s="244"/>
      <c r="AL177" s="244"/>
      <c r="AM177" s="244"/>
      <c r="AN177" s="241">
        <f t="shared" si="348"/>
        <v>109272.7</v>
      </c>
      <c r="AP177" s="241">
        <f>30000*1.03*1.03</f>
        <v>31827</v>
      </c>
      <c r="AQ177" s="244"/>
      <c r="AR177" s="244"/>
      <c r="AS177" s="244"/>
      <c r="AT177" s="244"/>
      <c r="AU177" s="244"/>
      <c r="AV177" s="241">
        <f t="shared" si="349"/>
        <v>31827</v>
      </c>
      <c r="AX177" s="241">
        <f>7500+500+500+500</f>
        <v>9000</v>
      </c>
      <c r="AY177" s="244"/>
      <c r="AZ177" s="244"/>
      <c r="BA177" s="244"/>
      <c r="BB177" s="244"/>
      <c r="BC177" s="244"/>
      <c r="BD177" s="241">
        <f t="shared" si="350"/>
        <v>9000</v>
      </c>
      <c r="BF177" s="241"/>
      <c r="BG177" s="242"/>
      <c r="BH177" s="242"/>
      <c r="BI177" s="242"/>
      <c r="BJ177" s="242"/>
      <c r="BK177" s="242"/>
      <c r="BL177" s="241">
        <f t="shared" si="351"/>
        <v>0</v>
      </c>
      <c r="BN177" s="241">
        <f t="shared" si="352"/>
        <v>429275.53500000003</v>
      </c>
      <c r="BO177" s="241">
        <f t="shared" si="343"/>
        <v>0</v>
      </c>
      <c r="BP177" s="241">
        <f t="shared" si="343"/>
        <v>0</v>
      </c>
      <c r="BQ177" s="241">
        <f t="shared" si="343"/>
        <v>0</v>
      </c>
      <c r="BR177" s="241">
        <f t="shared" si="343"/>
        <v>0</v>
      </c>
      <c r="BS177" s="241">
        <f t="shared" si="343"/>
        <v>0</v>
      </c>
      <c r="BT177" s="241">
        <f t="shared" si="353"/>
        <v>429275.53500000003</v>
      </c>
    </row>
    <row r="178" spans="1:72" x14ac:dyDescent="0.25">
      <c r="A178" s="211" t="s">
        <v>279</v>
      </c>
      <c r="B178" s="241">
        <f>((2+2.5+0.4+1.95)*B17)*1.03*1.02*1.02</f>
        <v>6804.6826194000014</v>
      </c>
      <c r="C178" s="244"/>
      <c r="D178" s="244"/>
      <c r="E178" s="244"/>
      <c r="F178" s="244"/>
      <c r="G178" s="244"/>
      <c r="H178" s="241">
        <f t="shared" si="344"/>
        <v>6804.6826194000014</v>
      </c>
      <c r="J178" s="241">
        <f>((2+2.5+0.4+1.95)*J17)*1.03*1.02*1.02</f>
        <v>18454.123090800003</v>
      </c>
      <c r="K178" s="244"/>
      <c r="L178" s="244"/>
      <c r="M178" s="244"/>
      <c r="N178" s="244"/>
      <c r="O178" s="244"/>
      <c r="P178" s="241">
        <f t="shared" si="345"/>
        <v>18454.123090800003</v>
      </c>
      <c r="R178" s="241">
        <f>((2+2.5+0.4+1.95)*R17)*1.03*1.02*1.02</f>
        <v>7560.7584660000011</v>
      </c>
      <c r="S178" s="244"/>
      <c r="T178" s="244"/>
      <c r="U178" s="244"/>
      <c r="V178" s="244"/>
      <c r="W178" s="244"/>
      <c r="X178" s="241">
        <f t="shared" si="346"/>
        <v>7560.7584660000011</v>
      </c>
      <c r="Z178" s="241">
        <f>((2+2.5+0.4+1.95)*Z17)*1.02*1.02*1.02</f>
        <v>8708.5912104000017</v>
      </c>
      <c r="AA178" s="244"/>
      <c r="AB178" s="244"/>
      <c r="AC178" s="244"/>
      <c r="AD178" s="244"/>
      <c r="AE178" s="244"/>
      <c r="AF178" s="241">
        <f t="shared" si="347"/>
        <v>8708.5912104000017</v>
      </c>
      <c r="AH178" s="241">
        <f>((2+2.5+0.4+1.95)*AH17)*1.02*1.02*1.02</f>
        <v>18231.341198400005</v>
      </c>
      <c r="AI178" s="244"/>
      <c r="AJ178" s="244"/>
      <c r="AK178" s="244"/>
      <c r="AL178" s="244"/>
      <c r="AM178" s="244"/>
      <c r="AN178" s="241">
        <f t="shared" si="348"/>
        <v>18231.341198400005</v>
      </c>
      <c r="AP178" s="241">
        <f>((2+2.5+0.4+1.95)*AP17)*1.02*1.02*1.02</f>
        <v>6644.1171672</v>
      </c>
      <c r="AQ178" s="244"/>
      <c r="AR178" s="244"/>
      <c r="AS178" s="244"/>
      <c r="AT178" s="244"/>
      <c r="AU178" s="244"/>
      <c r="AV178" s="241">
        <f t="shared" si="349"/>
        <v>6644.1171672</v>
      </c>
      <c r="AX178" s="241">
        <f>((2+2.5+0.4+1.95)*AX17)*1.01*1.03*1.02</f>
        <v>1322.8808502000002</v>
      </c>
      <c r="AY178" s="244"/>
      <c r="AZ178" s="244"/>
      <c r="BA178" s="244"/>
      <c r="BB178" s="244"/>
      <c r="BC178" s="244"/>
      <c r="BD178" s="241">
        <f t="shared" si="350"/>
        <v>1322.8808502000002</v>
      </c>
      <c r="BF178" s="241"/>
      <c r="BG178" s="242"/>
      <c r="BH178" s="242"/>
      <c r="BI178" s="242"/>
      <c r="BJ178" s="242"/>
      <c r="BK178" s="242"/>
      <c r="BL178" s="241">
        <f t="shared" si="351"/>
        <v>0</v>
      </c>
      <c r="BN178" s="241">
        <f t="shared" si="352"/>
        <v>67726.494602400024</v>
      </c>
      <c r="BO178" s="241">
        <f t="shared" si="343"/>
        <v>0</v>
      </c>
      <c r="BP178" s="241">
        <f t="shared" si="343"/>
        <v>0</v>
      </c>
      <c r="BQ178" s="241">
        <f t="shared" si="343"/>
        <v>0</v>
      </c>
      <c r="BR178" s="241">
        <f t="shared" si="343"/>
        <v>0</v>
      </c>
      <c r="BS178" s="241">
        <f t="shared" si="343"/>
        <v>0</v>
      </c>
      <c r="BT178" s="241">
        <f t="shared" si="353"/>
        <v>67726.494602400024</v>
      </c>
    </row>
    <row r="179" spans="1:72" x14ac:dyDescent="0.25">
      <c r="A179" s="211" t="s">
        <v>280</v>
      </c>
      <c r="B179" s="241">
        <f>71000*1.15*1.12*1.15</f>
        <v>105165.20000000001</v>
      </c>
      <c r="C179" s="244"/>
      <c r="D179" s="244"/>
      <c r="E179" s="244"/>
      <c r="F179" s="244"/>
      <c r="G179" s="244"/>
      <c r="H179" s="241">
        <f t="shared" si="344"/>
        <v>105165.20000000001</v>
      </c>
      <c r="J179" s="241">
        <f>194000*1.15*1.12*1.15</f>
        <v>287352.8</v>
      </c>
      <c r="K179" s="244"/>
      <c r="L179" s="244"/>
      <c r="M179" s="244"/>
      <c r="N179" s="244"/>
      <c r="O179" s="244"/>
      <c r="P179" s="241">
        <f t="shared" si="345"/>
        <v>287352.8</v>
      </c>
      <c r="R179" s="241">
        <f>80500*1.15*1.12*1.15</f>
        <v>119236.6</v>
      </c>
      <c r="S179" s="244"/>
      <c r="T179" s="244"/>
      <c r="U179" s="244"/>
      <c r="V179" s="244"/>
      <c r="W179" s="244"/>
      <c r="X179" s="241">
        <f t="shared" si="346"/>
        <v>119236.6</v>
      </c>
      <c r="Z179" s="241">
        <f>92500*1.15*1.12*1.15</f>
        <v>137011</v>
      </c>
      <c r="AA179" s="244"/>
      <c r="AB179" s="244"/>
      <c r="AC179" s="244"/>
      <c r="AD179" s="244"/>
      <c r="AE179" s="244"/>
      <c r="AF179" s="241">
        <f t="shared" si="347"/>
        <v>137011</v>
      </c>
      <c r="AH179" s="241">
        <f>188500*1.15*1.12*1.15</f>
        <v>279206.19999999995</v>
      </c>
      <c r="AI179" s="244"/>
      <c r="AJ179" s="244"/>
      <c r="AK179" s="244"/>
      <c r="AL179" s="244"/>
      <c r="AM179" s="244"/>
      <c r="AN179" s="241">
        <f t="shared" si="348"/>
        <v>279206.19999999995</v>
      </c>
      <c r="AP179" s="241">
        <v>95000</v>
      </c>
      <c r="AQ179" s="244"/>
      <c r="AR179" s="244"/>
      <c r="AS179" s="244"/>
      <c r="AT179" s="244"/>
      <c r="AU179" s="244"/>
      <c r="AV179" s="241">
        <f t="shared" si="349"/>
        <v>95000</v>
      </c>
      <c r="AX179" s="241">
        <f>11000*1.15*1.12*1.15</f>
        <v>16293.199999999999</v>
      </c>
      <c r="AY179" s="244"/>
      <c r="AZ179" s="244"/>
      <c r="BA179" s="244"/>
      <c r="BB179" s="244"/>
      <c r="BC179" s="244"/>
      <c r="BD179" s="241">
        <f t="shared" si="350"/>
        <v>16293.199999999999</v>
      </c>
      <c r="BF179" s="241"/>
      <c r="BG179" s="242"/>
      <c r="BH179" s="242"/>
      <c r="BI179" s="242"/>
      <c r="BJ179" s="242"/>
      <c r="BK179" s="242"/>
      <c r="BL179" s="241">
        <f t="shared" si="351"/>
        <v>0</v>
      </c>
      <c r="BN179" s="241">
        <f t="shared" si="352"/>
        <v>1039264.9999999999</v>
      </c>
      <c r="BO179" s="241">
        <f t="shared" si="343"/>
        <v>0</v>
      </c>
      <c r="BP179" s="241">
        <f t="shared" si="343"/>
        <v>0</v>
      </c>
      <c r="BQ179" s="241">
        <f t="shared" si="343"/>
        <v>0</v>
      </c>
      <c r="BR179" s="241">
        <f t="shared" si="343"/>
        <v>0</v>
      </c>
      <c r="BS179" s="241">
        <f t="shared" si="343"/>
        <v>0</v>
      </c>
      <c r="BT179" s="241">
        <f t="shared" si="353"/>
        <v>1039264.9999999999</v>
      </c>
    </row>
    <row r="180" spans="1:72" x14ac:dyDescent="0.25">
      <c r="A180" s="211" t="s">
        <v>281</v>
      </c>
      <c r="B180" s="241">
        <v>0</v>
      </c>
      <c r="C180" s="244"/>
      <c r="D180" s="242">
        <f>125*2.35*180</f>
        <v>52875</v>
      </c>
      <c r="E180" s="244"/>
      <c r="F180" s="244"/>
      <c r="G180" s="244"/>
      <c r="H180" s="241">
        <f t="shared" si="344"/>
        <v>52875</v>
      </c>
      <c r="J180" s="241">
        <v>0</v>
      </c>
      <c r="K180" s="244"/>
      <c r="L180" s="242">
        <f>200*2.35*180</f>
        <v>84600</v>
      </c>
      <c r="M180" s="244"/>
      <c r="N180" s="244"/>
      <c r="O180" s="244"/>
      <c r="P180" s="241">
        <f t="shared" si="345"/>
        <v>84600</v>
      </c>
      <c r="R180" s="241">
        <v>0</v>
      </c>
      <c r="S180" s="244"/>
      <c r="T180" s="242">
        <v>0</v>
      </c>
      <c r="U180" s="244"/>
      <c r="V180" s="244"/>
      <c r="W180" s="244"/>
      <c r="X180" s="241">
        <f t="shared" si="346"/>
        <v>0</v>
      </c>
      <c r="Z180" s="241">
        <v>0</v>
      </c>
      <c r="AA180" s="244"/>
      <c r="AB180" s="244"/>
      <c r="AC180" s="244"/>
      <c r="AD180" s="244"/>
      <c r="AE180" s="244"/>
      <c r="AF180" s="241">
        <f t="shared" si="347"/>
        <v>0</v>
      </c>
      <c r="AH180" s="241">
        <v>0</v>
      </c>
      <c r="AI180" s="244"/>
      <c r="AJ180" s="242">
        <v>0</v>
      </c>
      <c r="AK180" s="244"/>
      <c r="AL180" s="244"/>
      <c r="AM180" s="244"/>
      <c r="AN180" s="241">
        <f t="shared" si="348"/>
        <v>0</v>
      </c>
      <c r="AP180" s="241">
        <v>0</v>
      </c>
      <c r="AQ180" s="244"/>
      <c r="AR180" s="242">
        <f>250*2.25*180</f>
        <v>101250</v>
      </c>
      <c r="AS180" s="244"/>
      <c r="AT180" s="244"/>
      <c r="AU180" s="244"/>
      <c r="AV180" s="241">
        <f t="shared" si="349"/>
        <v>101250</v>
      </c>
      <c r="AX180" s="241">
        <v>0</v>
      </c>
      <c r="AY180" s="244"/>
      <c r="AZ180" s="244">
        <v>0</v>
      </c>
      <c r="BA180" s="244"/>
      <c r="BB180" s="244"/>
      <c r="BC180" s="244"/>
      <c r="BD180" s="241">
        <f t="shared" si="350"/>
        <v>0</v>
      </c>
      <c r="BF180" s="241"/>
      <c r="BG180" s="242"/>
      <c r="BH180" s="242"/>
      <c r="BI180" s="242"/>
      <c r="BJ180" s="242"/>
      <c r="BK180" s="242"/>
      <c r="BL180" s="241">
        <f t="shared" si="351"/>
        <v>0</v>
      </c>
      <c r="BN180" s="241">
        <f t="shared" si="352"/>
        <v>0</v>
      </c>
      <c r="BO180" s="241">
        <f t="shared" si="343"/>
        <v>0</v>
      </c>
      <c r="BP180" s="241">
        <f t="shared" si="343"/>
        <v>238725</v>
      </c>
      <c r="BQ180" s="241">
        <f t="shared" si="343"/>
        <v>0</v>
      </c>
      <c r="BR180" s="241">
        <f t="shared" si="343"/>
        <v>0</v>
      </c>
      <c r="BS180" s="241">
        <f t="shared" si="343"/>
        <v>0</v>
      </c>
      <c r="BT180" s="241">
        <f t="shared" si="353"/>
        <v>238725</v>
      </c>
    </row>
    <row r="181" spans="1:72" x14ac:dyDescent="0.25">
      <c r="A181" s="211" t="s">
        <v>282</v>
      </c>
      <c r="B181" s="241">
        <v>0</v>
      </c>
      <c r="C181" s="244"/>
      <c r="D181" s="242">
        <f>3.75*250*180</f>
        <v>168750</v>
      </c>
      <c r="E181" s="244"/>
      <c r="F181" s="244"/>
      <c r="G181" s="244"/>
      <c r="H181" s="241">
        <f t="shared" si="344"/>
        <v>168750</v>
      </c>
      <c r="J181" s="241">
        <v>0</v>
      </c>
      <c r="K181" s="244"/>
      <c r="L181" s="242">
        <f>3.75*525*180</f>
        <v>354375</v>
      </c>
      <c r="M181" s="244"/>
      <c r="N181" s="244"/>
      <c r="O181" s="244"/>
      <c r="P181" s="241">
        <f t="shared" si="345"/>
        <v>354375</v>
      </c>
      <c r="R181" s="241">
        <v>0</v>
      </c>
      <c r="S181" s="244"/>
      <c r="T181" s="242">
        <f>(165*3.75*180)</f>
        <v>111375</v>
      </c>
      <c r="U181" s="244"/>
      <c r="V181" s="244"/>
      <c r="W181" s="244"/>
      <c r="X181" s="241">
        <f t="shared" si="346"/>
        <v>111375</v>
      </c>
      <c r="Z181" s="241">
        <v>0</v>
      </c>
      <c r="AA181" s="244"/>
      <c r="AB181" s="242">
        <f>(105*3.75*180)</f>
        <v>70875</v>
      </c>
      <c r="AC181" s="244"/>
      <c r="AD181" s="244"/>
      <c r="AE181" s="244"/>
      <c r="AF181" s="241">
        <f t="shared" si="347"/>
        <v>70875</v>
      </c>
      <c r="AH181" s="241">
        <v>0</v>
      </c>
      <c r="AI181" s="244"/>
      <c r="AJ181" s="242">
        <f>(275*3.75*180)</f>
        <v>185625</v>
      </c>
      <c r="AK181" s="244"/>
      <c r="AL181" s="244"/>
      <c r="AM181" s="244"/>
      <c r="AN181" s="241">
        <f t="shared" si="348"/>
        <v>185625</v>
      </c>
      <c r="AP181" s="241">
        <v>0</v>
      </c>
      <c r="AQ181" s="244"/>
      <c r="AR181" s="242">
        <f>3.65*600*180</f>
        <v>394200</v>
      </c>
      <c r="AS181" s="244"/>
      <c r="AT181" s="244"/>
      <c r="AU181" s="244"/>
      <c r="AV181" s="241">
        <f t="shared" si="349"/>
        <v>394200</v>
      </c>
      <c r="AX181" s="241">
        <v>0</v>
      </c>
      <c r="AY181" s="244"/>
      <c r="AZ181" s="243"/>
      <c r="BA181" s="244"/>
      <c r="BB181" s="244"/>
      <c r="BC181" s="244"/>
      <c r="BD181" s="241">
        <f t="shared" si="350"/>
        <v>0</v>
      </c>
      <c r="BF181" s="241"/>
      <c r="BG181" s="242"/>
      <c r="BH181" s="242"/>
      <c r="BI181" s="242"/>
      <c r="BJ181" s="242"/>
      <c r="BK181" s="242"/>
      <c r="BL181" s="241">
        <f t="shared" si="351"/>
        <v>0</v>
      </c>
      <c r="BN181" s="241">
        <f t="shared" si="352"/>
        <v>0</v>
      </c>
      <c r="BO181" s="241">
        <f t="shared" si="343"/>
        <v>0</v>
      </c>
      <c r="BP181" s="241">
        <f t="shared" si="343"/>
        <v>1285200</v>
      </c>
      <c r="BQ181" s="241">
        <f t="shared" si="343"/>
        <v>0</v>
      </c>
      <c r="BR181" s="241">
        <f t="shared" si="343"/>
        <v>0</v>
      </c>
      <c r="BS181" s="241">
        <f t="shared" si="343"/>
        <v>0</v>
      </c>
      <c r="BT181" s="241">
        <f t="shared" si="353"/>
        <v>1285200</v>
      </c>
    </row>
    <row r="182" spans="1:72" x14ac:dyDescent="0.25">
      <c r="A182" s="211" t="s">
        <v>283</v>
      </c>
      <c r="B182" s="241">
        <f>7500+500+500+500</f>
        <v>9000</v>
      </c>
      <c r="C182" s="244"/>
      <c r="D182" s="242"/>
      <c r="E182" s="244"/>
      <c r="F182" s="244"/>
      <c r="G182" s="244"/>
      <c r="H182" s="241">
        <f t="shared" si="344"/>
        <v>9000</v>
      </c>
      <c r="J182" s="241">
        <f>12000+250+150</f>
        <v>12400</v>
      </c>
      <c r="K182" s="244"/>
      <c r="L182" s="244"/>
      <c r="M182" s="244"/>
      <c r="N182" s="244"/>
      <c r="O182" s="244"/>
      <c r="P182" s="241">
        <f t="shared" si="345"/>
        <v>12400</v>
      </c>
      <c r="R182" s="241">
        <f>7500+250+200+150</f>
        <v>8100</v>
      </c>
      <c r="S182" s="244"/>
      <c r="T182" s="244"/>
      <c r="U182" s="244"/>
      <c r="V182" s="244"/>
      <c r="W182" s="244"/>
      <c r="X182" s="241">
        <f t="shared" si="346"/>
        <v>8100</v>
      </c>
      <c r="Z182" s="241">
        <f>7500+250+250+250</f>
        <v>8250</v>
      </c>
      <c r="AA182" s="244"/>
      <c r="AB182" s="244"/>
      <c r="AC182" s="244"/>
      <c r="AD182" s="244"/>
      <c r="AE182" s="244"/>
      <c r="AF182" s="241">
        <f t="shared" si="347"/>
        <v>8250</v>
      </c>
      <c r="AH182" s="241">
        <f>7500+250+250+250</f>
        <v>8250</v>
      </c>
      <c r="AI182" s="244"/>
      <c r="AJ182" s="244"/>
      <c r="AK182" s="244"/>
      <c r="AL182" s="244"/>
      <c r="AM182" s="244"/>
      <c r="AN182" s="241">
        <f t="shared" si="348"/>
        <v>8250</v>
      </c>
      <c r="AP182" s="241">
        <f>10000+500+500</f>
        <v>11000</v>
      </c>
      <c r="AQ182" s="244"/>
      <c r="AR182" s="244"/>
      <c r="AS182" s="244"/>
      <c r="AT182" s="244"/>
      <c r="AU182" s="244"/>
      <c r="AV182" s="241">
        <f t="shared" si="349"/>
        <v>11000</v>
      </c>
      <c r="AX182" s="241">
        <f>12500+500+500+500</f>
        <v>14000</v>
      </c>
      <c r="AY182" s="244"/>
      <c r="AZ182" s="244"/>
      <c r="BA182" s="244"/>
      <c r="BB182" s="244"/>
      <c r="BC182" s="244"/>
      <c r="BD182" s="241">
        <f t="shared" si="350"/>
        <v>14000</v>
      </c>
      <c r="BF182" s="241"/>
      <c r="BG182" s="242"/>
      <c r="BH182" s="242"/>
      <c r="BI182" s="242"/>
      <c r="BJ182" s="242"/>
      <c r="BK182" s="242"/>
      <c r="BL182" s="241">
        <f t="shared" si="351"/>
        <v>0</v>
      </c>
      <c r="BN182" s="241">
        <f t="shared" si="352"/>
        <v>71000</v>
      </c>
      <c r="BO182" s="241">
        <f t="shared" si="343"/>
        <v>0</v>
      </c>
      <c r="BP182" s="241">
        <f t="shared" si="343"/>
        <v>0</v>
      </c>
      <c r="BQ182" s="241">
        <f t="shared" si="343"/>
        <v>0</v>
      </c>
      <c r="BR182" s="241">
        <f t="shared" si="343"/>
        <v>0</v>
      </c>
      <c r="BS182" s="241">
        <f t="shared" si="343"/>
        <v>0</v>
      </c>
      <c r="BT182" s="241">
        <f t="shared" si="353"/>
        <v>71000</v>
      </c>
    </row>
    <row r="183" spans="1:72" x14ac:dyDescent="0.25">
      <c r="A183" s="211" t="s">
        <v>284</v>
      </c>
      <c r="B183" s="241">
        <f>2000+250+250+200</f>
        <v>2700</v>
      </c>
      <c r="C183" s="244"/>
      <c r="D183" s="244"/>
      <c r="E183" s="244"/>
      <c r="F183" s="244"/>
      <c r="G183" s="244"/>
      <c r="H183" s="241">
        <f t="shared" si="344"/>
        <v>2700</v>
      </c>
      <c r="J183" s="241">
        <f>2300+100+100</f>
        <v>2500</v>
      </c>
      <c r="K183" s="244"/>
      <c r="L183" s="244"/>
      <c r="M183" s="244"/>
      <c r="N183" s="244"/>
      <c r="O183" s="244"/>
      <c r="P183" s="241">
        <f t="shared" si="345"/>
        <v>2500</v>
      </c>
      <c r="R183" s="241">
        <f>2000+250+150+100</f>
        <v>2500</v>
      </c>
      <c r="S183" s="244"/>
      <c r="T183" s="244"/>
      <c r="U183" s="244"/>
      <c r="V183" s="244"/>
      <c r="W183" s="244"/>
      <c r="X183" s="241">
        <f t="shared" si="346"/>
        <v>2500</v>
      </c>
      <c r="Z183" s="241">
        <f>2000+100+100+100</f>
        <v>2300</v>
      </c>
      <c r="AA183" s="244"/>
      <c r="AB183" s="244"/>
      <c r="AC183" s="244"/>
      <c r="AD183" s="244"/>
      <c r="AE183" s="244"/>
      <c r="AF183" s="241">
        <f t="shared" si="347"/>
        <v>2300</v>
      </c>
      <c r="AH183" s="241">
        <f>2500+150+150+100</f>
        <v>2900</v>
      </c>
      <c r="AI183" s="244"/>
      <c r="AJ183" s="244"/>
      <c r="AK183" s="244"/>
      <c r="AL183" s="244"/>
      <c r="AM183" s="244"/>
      <c r="AN183" s="241">
        <f t="shared" si="348"/>
        <v>2900</v>
      </c>
      <c r="AP183" s="241">
        <f>2000+350+250</f>
        <v>2600</v>
      </c>
      <c r="AQ183" s="244"/>
      <c r="AR183" s="244"/>
      <c r="AS183" s="244"/>
      <c r="AT183" s="244"/>
      <c r="AU183" s="244"/>
      <c r="AV183" s="241">
        <f t="shared" si="349"/>
        <v>2600</v>
      </c>
      <c r="AX183" s="241">
        <f>750+150+150+200</f>
        <v>1250</v>
      </c>
      <c r="AY183" s="244"/>
      <c r="AZ183" s="244"/>
      <c r="BA183" s="244"/>
      <c r="BB183" s="244"/>
      <c r="BC183" s="244"/>
      <c r="BD183" s="241">
        <f t="shared" si="350"/>
        <v>1250</v>
      </c>
      <c r="BF183" s="241">
        <f>8500+500+500</f>
        <v>9500</v>
      </c>
      <c r="BG183" s="242"/>
      <c r="BH183" s="242"/>
      <c r="BI183" s="242"/>
      <c r="BJ183" s="242"/>
      <c r="BK183" s="242"/>
      <c r="BL183" s="241">
        <f t="shared" si="351"/>
        <v>9500</v>
      </c>
      <c r="BN183" s="241">
        <f t="shared" si="352"/>
        <v>26250</v>
      </c>
      <c r="BO183" s="241">
        <f t="shared" si="343"/>
        <v>0</v>
      </c>
      <c r="BP183" s="241">
        <f t="shared" si="343"/>
        <v>0</v>
      </c>
      <c r="BQ183" s="241">
        <f t="shared" si="343"/>
        <v>0</v>
      </c>
      <c r="BR183" s="241">
        <f t="shared" si="343"/>
        <v>0</v>
      </c>
      <c r="BS183" s="241">
        <f t="shared" si="343"/>
        <v>0</v>
      </c>
      <c r="BT183" s="241">
        <f t="shared" si="353"/>
        <v>26250</v>
      </c>
    </row>
    <row r="184" spans="1:72" x14ac:dyDescent="0.25">
      <c r="A184" s="211" t="s">
        <v>285</v>
      </c>
      <c r="B184" s="241">
        <f>1000+50+50+50</f>
        <v>1150</v>
      </c>
      <c r="C184" s="244"/>
      <c r="D184" s="244"/>
      <c r="E184" s="244"/>
      <c r="F184" s="244"/>
      <c r="G184" s="244"/>
      <c r="H184" s="241">
        <f t="shared" si="344"/>
        <v>1150</v>
      </c>
      <c r="J184" s="241">
        <f>2100+100+100</f>
        <v>2300</v>
      </c>
      <c r="K184" s="244"/>
      <c r="L184" s="244"/>
      <c r="M184" s="244"/>
      <c r="N184" s="244"/>
      <c r="O184" s="244"/>
      <c r="P184" s="241">
        <f t="shared" si="345"/>
        <v>2300</v>
      </c>
      <c r="R184" s="241">
        <f>1000+100+50+75</f>
        <v>1225</v>
      </c>
      <c r="S184" s="244"/>
      <c r="T184" s="244"/>
      <c r="U184" s="244"/>
      <c r="V184" s="244"/>
      <c r="W184" s="244"/>
      <c r="X184" s="241">
        <f t="shared" si="346"/>
        <v>1225</v>
      </c>
      <c r="Z184" s="241">
        <f>1000+50+50+75</f>
        <v>1175</v>
      </c>
      <c r="AA184" s="244"/>
      <c r="AB184" s="244"/>
      <c r="AC184" s="244"/>
      <c r="AD184" s="244"/>
      <c r="AE184" s="244"/>
      <c r="AF184" s="241">
        <f t="shared" si="347"/>
        <v>1175</v>
      </c>
      <c r="AH184" s="241">
        <f>1200+50+75+75</f>
        <v>1400</v>
      </c>
      <c r="AI184" s="244"/>
      <c r="AJ184" s="244"/>
      <c r="AK184" s="244"/>
      <c r="AL184" s="244"/>
      <c r="AM184" s="244"/>
      <c r="AN184" s="241">
        <f t="shared" si="348"/>
        <v>1400</v>
      </c>
      <c r="AP184" s="241">
        <f>1200+75+75</f>
        <v>1350</v>
      </c>
      <c r="AQ184" s="244"/>
      <c r="AR184" s="244"/>
      <c r="AS184" s="244"/>
      <c r="AT184" s="244"/>
      <c r="AU184" s="244"/>
      <c r="AV184" s="241">
        <f t="shared" si="349"/>
        <v>1350</v>
      </c>
      <c r="AX184" s="241">
        <f>500+50+75+100</f>
        <v>725</v>
      </c>
      <c r="AY184" s="244"/>
      <c r="AZ184" s="244"/>
      <c r="BA184" s="244"/>
      <c r="BB184" s="244"/>
      <c r="BC184" s="244"/>
      <c r="BD184" s="241">
        <f t="shared" si="350"/>
        <v>725</v>
      </c>
      <c r="BF184" s="241"/>
      <c r="BG184" s="242"/>
      <c r="BH184" s="242"/>
      <c r="BI184" s="242"/>
      <c r="BJ184" s="242"/>
      <c r="BK184" s="242"/>
      <c r="BL184" s="241">
        <f t="shared" si="351"/>
        <v>0</v>
      </c>
      <c r="BN184" s="241">
        <f t="shared" si="352"/>
        <v>9325</v>
      </c>
      <c r="BO184" s="241">
        <f t="shared" si="343"/>
        <v>0</v>
      </c>
      <c r="BP184" s="241">
        <f t="shared" si="343"/>
        <v>0</v>
      </c>
      <c r="BQ184" s="241">
        <f t="shared" si="343"/>
        <v>0</v>
      </c>
      <c r="BR184" s="241">
        <f t="shared" si="343"/>
        <v>0</v>
      </c>
      <c r="BS184" s="241">
        <f t="shared" si="343"/>
        <v>0</v>
      </c>
      <c r="BT184" s="241">
        <f t="shared" si="353"/>
        <v>9325</v>
      </c>
    </row>
    <row r="185" spans="1:72" x14ac:dyDescent="0.25">
      <c r="A185" s="211" t="s">
        <v>286</v>
      </c>
      <c r="B185" s="244">
        <f>((10*950)+1200+3500+4500)*1.01*1.01*1.01</f>
        <v>19266.628699999997</v>
      </c>
      <c r="C185" s="244"/>
      <c r="D185" s="244"/>
      <c r="E185" s="244"/>
      <c r="F185" s="244"/>
      <c r="G185" s="244"/>
      <c r="H185" s="241">
        <f t="shared" si="344"/>
        <v>19266.628699999997</v>
      </c>
      <c r="J185" s="244">
        <f>((10*2500)+1200+3500+6500+7500)*1.01*1.01*1.01</f>
        <v>45024.153700000003</v>
      </c>
      <c r="K185" s="244"/>
      <c r="L185" s="244"/>
      <c r="M185" s="244"/>
      <c r="N185" s="244"/>
      <c r="O185" s="244"/>
      <c r="P185" s="241">
        <f t="shared" si="345"/>
        <v>45024.153700000003</v>
      </c>
      <c r="R185" s="244">
        <f>((10*1050)+1200+3500+4500)*1.01*1.01*1.01</f>
        <v>20296.929700000001</v>
      </c>
      <c r="S185" s="244"/>
      <c r="T185" s="244"/>
      <c r="U185" s="244"/>
      <c r="V185" s="244"/>
      <c r="W185" s="244"/>
      <c r="X185" s="241">
        <f t="shared" si="346"/>
        <v>20296.929700000001</v>
      </c>
      <c r="Z185" s="244">
        <f>((10*1200)+1200+3500+4500)*1.01*1.01*1.01</f>
        <v>21842.3812</v>
      </c>
      <c r="AA185" s="244"/>
      <c r="AB185" s="244"/>
      <c r="AC185" s="244"/>
      <c r="AD185" s="244"/>
      <c r="AE185" s="244"/>
      <c r="AF185" s="241">
        <f t="shared" si="347"/>
        <v>21842.3812</v>
      </c>
      <c r="AH185" s="244">
        <f>((10*2500)+1200+3500+7500+5000)*1.01*1.01*1.01</f>
        <v>43478.7022</v>
      </c>
      <c r="AI185" s="244"/>
      <c r="AJ185" s="244"/>
      <c r="AK185" s="244"/>
      <c r="AL185" s="244"/>
      <c r="AM185" s="244"/>
      <c r="AN185" s="241">
        <f t="shared" si="348"/>
        <v>43478.7022</v>
      </c>
      <c r="AP185" s="244">
        <f>((10*AP17)+1200+2500+3500+2500)*1.01</f>
        <v>19028.400000000001</v>
      </c>
      <c r="AQ185" s="244"/>
      <c r="AR185" s="244"/>
      <c r="AS185" s="244"/>
      <c r="AT185" s="244"/>
      <c r="AU185" s="244"/>
      <c r="AV185" s="241">
        <f t="shared" si="349"/>
        <v>19028.400000000001</v>
      </c>
      <c r="AX185" s="244">
        <f>(10*350)+1200+2500</f>
        <v>7200</v>
      </c>
      <c r="AY185" s="244"/>
      <c r="AZ185" s="244"/>
      <c r="BA185" s="244"/>
      <c r="BB185" s="244"/>
      <c r="BC185" s="244"/>
      <c r="BD185" s="241">
        <f t="shared" si="350"/>
        <v>7200</v>
      </c>
      <c r="BF185" s="242">
        <f>1700*12</f>
        <v>20400</v>
      </c>
      <c r="BG185" s="242"/>
      <c r="BH185" s="242"/>
      <c r="BI185" s="242"/>
      <c r="BJ185" s="242"/>
      <c r="BK185" s="242"/>
      <c r="BL185" s="241">
        <f t="shared" si="351"/>
        <v>20400</v>
      </c>
      <c r="BN185" s="241">
        <f t="shared" si="352"/>
        <v>196537.1955</v>
      </c>
      <c r="BO185" s="241">
        <f t="shared" si="343"/>
        <v>0</v>
      </c>
      <c r="BP185" s="241">
        <f t="shared" si="343"/>
        <v>0</v>
      </c>
      <c r="BQ185" s="241">
        <f t="shared" si="343"/>
        <v>0</v>
      </c>
      <c r="BR185" s="241">
        <f t="shared" si="343"/>
        <v>0</v>
      </c>
      <c r="BS185" s="241">
        <f t="shared" si="343"/>
        <v>0</v>
      </c>
      <c r="BT185" s="241">
        <f t="shared" si="353"/>
        <v>196537.1955</v>
      </c>
    </row>
    <row r="186" spans="1:72" x14ac:dyDescent="0.25">
      <c r="A186" s="211" t="s">
        <v>264</v>
      </c>
      <c r="B186" s="244"/>
      <c r="C186" s="244"/>
      <c r="D186" s="244"/>
      <c r="E186" s="244"/>
      <c r="F186" s="244"/>
      <c r="G186" s="244"/>
      <c r="H186" s="241">
        <f t="shared" si="344"/>
        <v>0</v>
      </c>
      <c r="J186" s="244">
        <f>52500+2500+2500</f>
        <v>57500</v>
      </c>
      <c r="K186" s="244"/>
      <c r="L186" s="244"/>
      <c r="M186" s="244"/>
      <c r="N186" s="244"/>
      <c r="O186" s="244"/>
      <c r="P186" s="241">
        <f t="shared" si="345"/>
        <v>57500</v>
      </c>
      <c r="R186" s="244"/>
      <c r="S186" s="244"/>
      <c r="T186" s="244"/>
      <c r="U186" s="244"/>
      <c r="V186" s="244"/>
      <c r="W186" s="244"/>
      <c r="X186" s="241">
        <f t="shared" si="346"/>
        <v>0</v>
      </c>
      <c r="Z186" s="244"/>
      <c r="AA186" s="244"/>
      <c r="AB186" s="244"/>
      <c r="AC186" s="244"/>
      <c r="AD186" s="244"/>
      <c r="AE186" s="244"/>
      <c r="AF186" s="241">
        <f t="shared" si="347"/>
        <v>0</v>
      </c>
      <c r="AH186" s="244">
        <f>50000+2500+2500+2500</f>
        <v>57500</v>
      </c>
      <c r="AI186" s="244"/>
      <c r="AJ186" s="244"/>
      <c r="AK186" s="244"/>
      <c r="AL186" s="244"/>
      <c r="AM186" s="244"/>
      <c r="AN186" s="241">
        <f t="shared" si="348"/>
        <v>57500</v>
      </c>
      <c r="AP186" s="244"/>
      <c r="AQ186" s="244"/>
      <c r="AR186" s="244"/>
      <c r="AS186" s="244"/>
      <c r="AT186" s="244"/>
      <c r="AU186" s="244"/>
      <c r="AV186" s="241">
        <f t="shared" si="349"/>
        <v>0</v>
      </c>
      <c r="AX186" s="244"/>
      <c r="AY186" s="244"/>
      <c r="AZ186" s="244"/>
      <c r="BA186" s="244"/>
      <c r="BB186" s="244"/>
      <c r="BC186" s="244"/>
      <c r="BD186" s="241">
        <f t="shared" si="350"/>
        <v>0</v>
      </c>
      <c r="BF186" s="242"/>
      <c r="BG186" s="242"/>
      <c r="BH186" s="242"/>
      <c r="BI186" s="242"/>
      <c r="BJ186" s="242"/>
      <c r="BK186" s="242"/>
      <c r="BL186" s="241">
        <f t="shared" si="351"/>
        <v>0</v>
      </c>
      <c r="BN186" s="241">
        <f t="shared" si="352"/>
        <v>115000</v>
      </c>
      <c r="BO186" s="241">
        <f t="shared" si="343"/>
        <v>0</v>
      </c>
      <c r="BP186" s="241">
        <f t="shared" si="343"/>
        <v>0</v>
      </c>
      <c r="BQ186" s="241">
        <f t="shared" si="343"/>
        <v>0</v>
      </c>
      <c r="BR186" s="241">
        <f t="shared" si="343"/>
        <v>0</v>
      </c>
      <c r="BS186" s="241">
        <f t="shared" si="343"/>
        <v>0</v>
      </c>
      <c r="BT186" s="241">
        <f t="shared" si="353"/>
        <v>115000</v>
      </c>
    </row>
    <row r="187" spans="1:72" x14ac:dyDescent="0.25">
      <c r="A187" s="211" t="s">
        <v>287</v>
      </c>
      <c r="B187" s="244"/>
      <c r="C187" s="244"/>
      <c r="D187" s="244"/>
      <c r="E187" s="244"/>
      <c r="F187" s="244"/>
      <c r="G187" s="244"/>
      <c r="H187" s="241">
        <f t="shared" si="344"/>
        <v>0</v>
      </c>
      <c r="J187" s="244">
        <v>0</v>
      </c>
      <c r="K187" s="244"/>
      <c r="L187" s="244"/>
      <c r="M187" s="244"/>
      <c r="N187" s="244"/>
      <c r="O187" s="244"/>
      <c r="P187" s="241">
        <f t="shared" si="345"/>
        <v>0</v>
      </c>
      <c r="R187" s="244"/>
      <c r="S187" s="244"/>
      <c r="T187" s="244"/>
      <c r="U187" s="244"/>
      <c r="V187" s="244"/>
      <c r="W187" s="244"/>
      <c r="X187" s="241">
        <f t="shared" si="346"/>
        <v>0</v>
      </c>
      <c r="Z187" s="244"/>
      <c r="AA187" s="244"/>
      <c r="AB187" s="244"/>
      <c r="AC187" s="244"/>
      <c r="AD187" s="244"/>
      <c r="AE187" s="244"/>
      <c r="AF187" s="241">
        <f t="shared" si="347"/>
        <v>0</v>
      </c>
      <c r="AH187" s="244"/>
      <c r="AI187" s="244"/>
      <c r="AJ187" s="244"/>
      <c r="AK187" s="244"/>
      <c r="AL187" s="244"/>
      <c r="AM187" s="244"/>
      <c r="AN187" s="241">
        <f t="shared" si="348"/>
        <v>0</v>
      </c>
      <c r="AP187" s="243">
        <v>349700</v>
      </c>
      <c r="AQ187" s="244"/>
      <c r="AR187" s="244"/>
      <c r="AS187" s="244"/>
      <c r="AT187" s="244"/>
      <c r="AU187" s="244"/>
      <c r="AV187" s="241">
        <f t="shared" si="349"/>
        <v>349700</v>
      </c>
      <c r="AX187" s="244"/>
      <c r="AY187" s="244"/>
      <c r="AZ187" s="244"/>
      <c r="BA187" s="244"/>
      <c r="BB187" s="244"/>
      <c r="BC187" s="244"/>
      <c r="BD187" s="241">
        <f t="shared" si="350"/>
        <v>0</v>
      </c>
      <c r="BF187" s="242"/>
      <c r="BG187" s="242"/>
      <c r="BH187" s="242"/>
      <c r="BI187" s="242"/>
      <c r="BJ187" s="242"/>
      <c r="BK187" s="242"/>
      <c r="BL187" s="241">
        <f t="shared" si="351"/>
        <v>0</v>
      </c>
      <c r="BN187" s="241">
        <f t="shared" si="352"/>
        <v>349700</v>
      </c>
      <c r="BO187" s="241">
        <f t="shared" si="343"/>
        <v>0</v>
      </c>
      <c r="BP187" s="241">
        <f t="shared" si="343"/>
        <v>0</v>
      </c>
      <c r="BQ187" s="241">
        <f t="shared" si="343"/>
        <v>0</v>
      </c>
      <c r="BR187" s="241">
        <f t="shared" si="343"/>
        <v>0</v>
      </c>
      <c r="BS187" s="241">
        <f t="shared" si="343"/>
        <v>0</v>
      </c>
      <c r="BT187" s="241">
        <f t="shared" si="353"/>
        <v>349700</v>
      </c>
    </row>
    <row r="188" spans="1:72" x14ac:dyDescent="0.25">
      <c r="A188" s="211" t="s">
        <v>288</v>
      </c>
      <c r="B188" s="244">
        <v>0</v>
      </c>
      <c r="C188" s="244"/>
      <c r="D188" s="244"/>
      <c r="E188" s="244"/>
      <c r="F188" s="244"/>
      <c r="G188" s="244"/>
      <c r="H188" s="241">
        <f t="shared" si="344"/>
        <v>0</v>
      </c>
      <c r="J188" s="244">
        <v>0</v>
      </c>
      <c r="K188" s="244"/>
      <c r="L188" s="244"/>
      <c r="M188" s="244"/>
      <c r="N188" s="244"/>
      <c r="O188" s="244"/>
      <c r="P188" s="241">
        <f t="shared" si="345"/>
        <v>0</v>
      </c>
      <c r="R188" s="244">
        <v>0</v>
      </c>
      <c r="S188" s="244"/>
      <c r="T188" s="244"/>
      <c r="U188" s="244"/>
      <c r="V188" s="244"/>
      <c r="W188" s="244"/>
      <c r="X188" s="241">
        <f t="shared" si="346"/>
        <v>0</v>
      </c>
      <c r="Z188" s="244">
        <v>0</v>
      </c>
      <c r="AA188" s="244"/>
      <c r="AB188" s="244"/>
      <c r="AC188" s="244"/>
      <c r="AD188" s="244"/>
      <c r="AE188" s="244"/>
      <c r="AF188" s="241">
        <f t="shared" si="347"/>
        <v>0</v>
      </c>
      <c r="AH188" s="244">
        <v>0</v>
      </c>
      <c r="AI188" s="244"/>
      <c r="AJ188" s="244"/>
      <c r="AK188" s="244"/>
      <c r="AL188" s="244"/>
      <c r="AM188" s="244"/>
      <c r="AN188" s="241">
        <f t="shared" si="348"/>
        <v>0</v>
      </c>
      <c r="AP188" s="244">
        <v>0</v>
      </c>
      <c r="AQ188" s="244"/>
      <c r="AR188" s="244"/>
      <c r="AS188" s="244"/>
      <c r="AT188" s="244"/>
      <c r="AU188" s="244"/>
      <c r="AV188" s="241">
        <f t="shared" si="349"/>
        <v>0</v>
      </c>
      <c r="AX188" s="244">
        <v>0</v>
      </c>
      <c r="AY188" s="244"/>
      <c r="AZ188" s="244"/>
      <c r="BA188" s="244"/>
      <c r="BB188" s="244"/>
      <c r="BC188" s="244"/>
      <c r="BD188" s="241">
        <f t="shared" si="350"/>
        <v>0</v>
      </c>
      <c r="BF188" s="242"/>
      <c r="BG188" s="242"/>
      <c r="BH188" s="242"/>
      <c r="BI188" s="242"/>
      <c r="BJ188" s="242"/>
      <c r="BK188" s="242"/>
      <c r="BL188" s="241">
        <f t="shared" si="351"/>
        <v>0</v>
      </c>
      <c r="BN188" s="241">
        <f t="shared" si="352"/>
        <v>0</v>
      </c>
      <c r="BO188" s="241">
        <f t="shared" si="343"/>
        <v>0</v>
      </c>
      <c r="BP188" s="241">
        <f t="shared" si="343"/>
        <v>0</v>
      </c>
      <c r="BQ188" s="241">
        <f t="shared" si="343"/>
        <v>0</v>
      </c>
      <c r="BR188" s="241">
        <f t="shared" si="343"/>
        <v>0</v>
      </c>
      <c r="BS188" s="241">
        <f t="shared" si="343"/>
        <v>0</v>
      </c>
      <c r="BT188" s="241">
        <f t="shared" si="353"/>
        <v>0</v>
      </c>
    </row>
    <row r="189" spans="1:72" x14ac:dyDescent="0.25">
      <c r="A189" s="211" t="s">
        <v>289</v>
      </c>
      <c r="B189" s="244"/>
      <c r="C189" s="244"/>
      <c r="D189" s="244"/>
      <c r="E189" s="244"/>
      <c r="F189" s="244"/>
      <c r="G189" s="244"/>
      <c r="H189" s="241">
        <f t="shared" si="344"/>
        <v>0</v>
      </c>
      <c r="J189" s="244"/>
      <c r="K189" s="244"/>
      <c r="L189" s="244"/>
      <c r="M189" s="244"/>
      <c r="N189" s="244"/>
      <c r="O189" s="244"/>
      <c r="P189" s="241">
        <f t="shared" si="345"/>
        <v>0</v>
      </c>
      <c r="R189" s="244"/>
      <c r="S189" s="244"/>
      <c r="T189" s="244"/>
      <c r="U189" s="244"/>
      <c r="V189" s="244"/>
      <c r="W189" s="244"/>
      <c r="X189" s="241">
        <f t="shared" si="346"/>
        <v>0</v>
      </c>
      <c r="Z189" s="244"/>
      <c r="AA189" s="244"/>
      <c r="AB189" s="244"/>
      <c r="AC189" s="244"/>
      <c r="AD189" s="244"/>
      <c r="AE189" s="244"/>
      <c r="AF189" s="241">
        <f t="shared" si="347"/>
        <v>0</v>
      </c>
      <c r="AH189" s="244"/>
      <c r="AI189" s="244"/>
      <c r="AJ189" s="244"/>
      <c r="AK189" s="244"/>
      <c r="AL189" s="244"/>
      <c r="AM189" s="244"/>
      <c r="AN189" s="241">
        <f t="shared" si="348"/>
        <v>0</v>
      </c>
      <c r="AP189" s="244"/>
      <c r="AQ189" s="244"/>
      <c r="AR189" s="244"/>
      <c r="AS189" s="244"/>
      <c r="AT189" s="244"/>
      <c r="AU189" s="244"/>
      <c r="AV189" s="241">
        <f t="shared" si="349"/>
        <v>0</v>
      </c>
      <c r="AX189" s="244"/>
      <c r="AY189" s="244"/>
      <c r="AZ189" s="244"/>
      <c r="BA189" s="244"/>
      <c r="BB189" s="244"/>
      <c r="BC189" s="244"/>
      <c r="BD189" s="241">
        <f t="shared" si="350"/>
        <v>0</v>
      </c>
      <c r="BF189" s="242"/>
      <c r="BG189" s="242"/>
      <c r="BH189" s="242"/>
      <c r="BI189" s="242"/>
      <c r="BJ189" s="242"/>
      <c r="BK189" s="242"/>
      <c r="BL189" s="241">
        <f t="shared" si="351"/>
        <v>0</v>
      </c>
      <c r="BN189" s="241">
        <f t="shared" si="352"/>
        <v>0</v>
      </c>
      <c r="BO189" s="241">
        <f t="shared" si="343"/>
        <v>0</v>
      </c>
      <c r="BP189" s="241">
        <f t="shared" si="343"/>
        <v>0</v>
      </c>
      <c r="BQ189" s="241">
        <f t="shared" si="343"/>
        <v>0</v>
      </c>
      <c r="BR189" s="241">
        <f t="shared" si="343"/>
        <v>0</v>
      </c>
      <c r="BS189" s="241">
        <f t="shared" si="343"/>
        <v>0</v>
      </c>
      <c r="BT189" s="241">
        <f t="shared" si="353"/>
        <v>0</v>
      </c>
    </row>
    <row r="190" spans="1:72" x14ac:dyDescent="0.25">
      <c r="A190" s="211" t="s">
        <v>290</v>
      </c>
      <c r="B190" s="244"/>
      <c r="C190" s="244"/>
      <c r="D190" s="244"/>
      <c r="E190" s="244"/>
      <c r="F190" s="244"/>
      <c r="G190" s="244"/>
      <c r="H190" s="241">
        <f t="shared" si="344"/>
        <v>0</v>
      </c>
      <c r="J190" s="244"/>
      <c r="K190" s="244"/>
      <c r="L190" s="244"/>
      <c r="M190" s="244"/>
      <c r="N190" s="244"/>
      <c r="O190" s="244"/>
      <c r="P190" s="241">
        <f t="shared" si="345"/>
        <v>0</v>
      </c>
      <c r="R190" s="244"/>
      <c r="S190" s="244"/>
      <c r="T190" s="244"/>
      <c r="U190" s="244"/>
      <c r="V190" s="244"/>
      <c r="W190" s="244"/>
      <c r="X190" s="241">
        <f t="shared" si="346"/>
        <v>0</v>
      </c>
      <c r="Z190" s="244"/>
      <c r="AA190" s="244"/>
      <c r="AB190" s="244"/>
      <c r="AC190" s="244"/>
      <c r="AD190" s="244"/>
      <c r="AE190" s="244"/>
      <c r="AF190" s="241">
        <f t="shared" si="347"/>
        <v>0</v>
      </c>
      <c r="AH190" s="244"/>
      <c r="AI190" s="244"/>
      <c r="AJ190" s="244"/>
      <c r="AK190" s="244"/>
      <c r="AL190" s="244"/>
      <c r="AM190" s="244"/>
      <c r="AN190" s="241">
        <f t="shared" si="348"/>
        <v>0</v>
      </c>
      <c r="AP190" s="244"/>
      <c r="AQ190" s="244"/>
      <c r="AR190" s="244"/>
      <c r="AS190" s="244"/>
      <c r="AT190" s="244"/>
      <c r="AU190" s="244"/>
      <c r="AV190" s="241">
        <f t="shared" si="349"/>
        <v>0</v>
      </c>
      <c r="AX190" s="244"/>
      <c r="AY190" s="244"/>
      <c r="AZ190" s="244"/>
      <c r="BA190" s="244"/>
      <c r="BB190" s="244"/>
      <c r="BC190" s="244"/>
      <c r="BD190" s="241">
        <f t="shared" si="350"/>
        <v>0</v>
      </c>
      <c r="BF190" s="242"/>
      <c r="BG190" s="242"/>
      <c r="BH190" s="242"/>
      <c r="BI190" s="242"/>
      <c r="BJ190" s="242"/>
      <c r="BK190" s="242"/>
      <c r="BL190" s="241">
        <f t="shared" si="351"/>
        <v>0</v>
      </c>
      <c r="BN190" s="241">
        <f t="shared" si="352"/>
        <v>0</v>
      </c>
      <c r="BO190" s="241">
        <f t="shared" si="352"/>
        <v>0</v>
      </c>
      <c r="BP190" s="241">
        <f t="shared" si="352"/>
        <v>0</v>
      </c>
      <c r="BQ190" s="241">
        <f t="shared" si="352"/>
        <v>0</v>
      </c>
      <c r="BR190" s="241">
        <f t="shared" si="352"/>
        <v>0</v>
      </c>
      <c r="BS190" s="241">
        <f t="shared" si="352"/>
        <v>0</v>
      </c>
      <c r="BT190" s="241">
        <f t="shared" si="353"/>
        <v>0</v>
      </c>
    </row>
    <row r="191" spans="1:72" x14ac:dyDescent="0.25">
      <c r="A191" s="211" t="s">
        <v>291</v>
      </c>
      <c r="B191" s="244"/>
      <c r="C191" s="244"/>
      <c r="D191" s="244"/>
      <c r="E191" s="244"/>
      <c r="F191" s="244"/>
      <c r="G191" s="244">
        <f>G79</f>
        <v>300000</v>
      </c>
      <c r="H191" s="241">
        <f t="shared" si="344"/>
        <v>300000</v>
      </c>
      <c r="J191" s="244"/>
      <c r="K191" s="244"/>
      <c r="L191" s="244"/>
      <c r="M191" s="244"/>
      <c r="N191" s="244"/>
      <c r="O191" s="244">
        <f>O79</f>
        <v>1500000</v>
      </c>
      <c r="P191" s="241">
        <f t="shared" si="345"/>
        <v>1500000</v>
      </c>
      <c r="R191" s="244"/>
      <c r="S191" s="244"/>
      <c r="T191" s="244"/>
      <c r="U191" s="244"/>
      <c r="V191" s="244"/>
      <c r="W191" s="244">
        <f>W79</f>
        <v>850000</v>
      </c>
      <c r="X191" s="241">
        <f t="shared" si="346"/>
        <v>850000</v>
      </c>
      <c r="Z191" s="244"/>
      <c r="AA191" s="244"/>
      <c r="AB191" s="244"/>
      <c r="AC191" s="244"/>
      <c r="AD191" s="244"/>
      <c r="AE191" s="244">
        <f>AE79</f>
        <v>900000</v>
      </c>
      <c r="AF191" s="241">
        <f t="shared" si="347"/>
        <v>900000</v>
      </c>
      <c r="AH191" s="244"/>
      <c r="AI191" s="244"/>
      <c r="AJ191" s="244"/>
      <c r="AK191" s="244"/>
      <c r="AL191" s="244"/>
      <c r="AM191" s="244">
        <f>AM79</f>
        <v>2500000</v>
      </c>
      <c r="AN191" s="241">
        <f t="shared" si="348"/>
        <v>2500000</v>
      </c>
      <c r="AP191" s="244"/>
      <c r="AQ191" s="244"/>
      <c r="AR191" s="244"/>
      <c r="AS191" s="244"/>
      <c r="AT191" s="244"/>
      <c r="AU191" s="244">
        <f>AU79</f>
        <v>100000</v>
      </c>
      <c r="AV191" s="241">
        <f t="shared" si="349"/>
        <v>100000</v>
      </c>
      <c r="AX191" s="244"/>
      <c r="AY191" s="244"/>
      <c r="AZ191" s="244"/>
      <c r="BA191" s="244"/>
      <c r="BB191" s="244"/>
      <c r="BC191" s="244">
        <f>BC79</f>
        <v>25000</v>
      </c>
      <c r="BD191" s="241">
        <f t="shared" si="350"/>
        <v>25000</v>
      </c>
      <c r="BF191" s="242"/>
      <c r="BG191" s="242"/>
      <c r="BH191" s="242"/>
      <c r="BI191" s="242"/>
      <c r="BJ191" s="242"/>
      <c r="BK191" s="242"/>
      <c r="BL191" s="241">
        <f t="shared" si="351"/>
        <v>0</v>
      </c>
      <c r="BN191" s="241">
        <f t="shared" si="352"/>
        <v>0</v>
      </c>
      <c r="BO191" s="241">
        <f t="shared" si="352"/>
        <v>0</v>
      </c>
      <c r="BP191" s="241">
        <f t="shared" si="352"/>
        <v>0</v>
      </c>
      <c r="BQ191" s="241">
        <f t="shared" si="352"/>
        <v>0</v>
      </c>
      <c r="BR191" s="241">
        <f t="shared" si="352"/>
        <v>0</v>
      </c>
      <c r="BS191" s="241">
        <f t="shared" si="352"/>
        <v>6175000</v>
      </c>
      <c r="BT191" s="241">
        <f t="shared" si="353"/>
        <v>6175000</v>
      </c>
    </row>
    <row r="192" spans="1:72" x14ac:dyDescent="0.25">
      <c r="A192" s="211" t="s">
        <v>292</v>
      </c>
      <c r="B192" s="244">
        <v>1500</v>
      </c>
      <c r="C192" s="244"/>
      <c r="D192" s="244"/>
      <c r="E192" s="244"/>
      <c r="F192" s="244"/>
      <c r="G192" s="244"/>
      <c r="H192" s="241">
        <f t="shared" si="344"/>
        <v>1500</v>
      </c>
      <c r="J192" s="244">
        <v>5000</v>
      </c>
      <c r="K192" s="244"/>
      <c r="L192" s="244"/>
      <c r="M192" s="244"/>
      <c r="N192" s="244">
        <v>49770</v>
      </c>
      <c r="O192" s="244"/>
      <c r="P192" s="241">
        <f t="shared" si="345"/>
        <v>54770</v>
      </c>
      <c r="R192" s="244">
        <v>5000</v>
      </c>
      <c r="S192" s="244"/>
      <c r="T192" s="244"/>
      <c r="U192" s="244"/>
      <c r="V192" s="244"/>
      <c r="W192" s="244"/>
      <c r="X192" s="241">
        <f t="shared" si="346"/>
        <v>5000</v>
      </c>
      <c r="Z192" s="244">
        <v>5000</v>
      </c>
      <c r="AA192" s="244"/>
      <c r="AB192" s="244"/>
      <c r="AC192" s="244"/>
      <c r="AD192" s="244"/>
      <c r="AE192" s="244"/>
      <c r="AF192" s="241">
        <f t="shared" si="347"/>
        <v>5000</v>
      </c>
      <c r="AH192" s="244">
        <v>5000</v>
      </c>
      <c r="AI192" s="244"/>
      <c r="AJ192" s="244"/>
      <c r="AK192" s="244"/>
      <c r="AL192" s="244"/>
      <c r="AM192" s="244"/>
      <c r="AN192" s="241">
        <f t="shared" si="348"/>
        <v>5000</v>
      </c>
      <c r="AP192" s="244">
        <v>2500</v>
      </c>
      <c r="AQ192" s="244"/>
      <c r="AR192" s="244"/>
      <c r="AS192" s="244"/>
      <c r="AT192" s="244"/>
      <c r="AU192" s="244"/>
      <c r="AV192" s="241">
        <f t="shared" si="349"/>
        <v>2500</v>
      </c>
      <c r="AX192" s="244">
        <v>1000</v>
      </c>
      <c r="AY192" s="244"/>
      <c r="AZ192" s="244"/>
      <c r="BA192" s="244"/>
      <c r="BB192" s="244"/>
      <c r="BC192" s="244"/>
      <c r="BD192" s="241">
        <f t="shared" si="350"/>
        <v>1000</v>
      </c>
      <c r="BF192" s="242"/>
      <c r="BG192" s="242"/>
      <c r="BH192" s="242"/>
      <c r="BI192" s="242"/>
      <c r="BJ192" s="280">
        <f>145235+192192</f>
        <v>337427</v>
      </c>
      <c r="BK192" s="242"/>
      <c r="BL192" s="241">
        <f t="shared" si="351"/>
        <v>337427</v>
      </c>
      <c r="BN192" s="241">
        <f t="shared" si="352"/>
        <v>25000</v>
      </c>
      <c r="BO192" s="241">
        <f t="shared" si="352"/>
        <v>0</v>
      </c>
      <c r="BP192" s="241">
        <f t="shared" si="352"/>
        <v>0</v>
      </c>
      <c r="BQ192" s="241">
        <f t="shared" si="352"/>
        <v>0</v>
      </c>
      <c r="BR192" s="241">
        <f t="shared" si="352"/>
        <v>387197</v>
      </c>
      <c r="BS192" s="241">
        <f t="shared" si="352"/>
        <v>0</v>
      </c>
      <c r="BT192" s="241">
        <f t="shared" si="353"/>
        <v>412197</v>
      </c>
    </row>
    <row r="193" spans="1:73" x14ac:dyDescent="0.25">
      <c r="A193" s="212" t="s">
        <v>293</v>
      </c>
      <c r="B193" s="245">
        <f>B68*0.0035</f>
        <v>31714.987499999999</v>
      </c>
      <c r="C193" s="245"/>
      <c r="D193" s="245"/>
      <c r="E193" s="245"/>
      <c r="F193" s="245"/>
      <c r="G193" s="245"/>
      <c r="H193" s="241">
        <f>SUM(B193:G193)</f>
        <v>31714.987499999999</v>
      </c>
      <c r="J193" s="245">
        <f>J68*0.019</f>
        <v>466912.64999999997</v>
      </c>
      <c r="K193" s="245"/>
      <c r="L193" s="245"/>
      <c r="M193" s="245"/>
      <c r="N193" s="245"/>
      <c r="O193" s="245"/>
      <c r="P193" s="241">
        <f>SUM(J193:O193)</f>
        <v>466912.64999999997</v>
      </c>
      <c r="R193" s="245">
        <f>R68*0.015</f>
        <v>151023.75</v>
      </c>
      <c r="S193" s="245"/>
      <c r="T193" s="245"/>
      <c r="U193" s="245"/>
      <c r="V193" s="245"/>
      <c r="W193" s="245"/>
      <c r="X193" s="241">
        <f>SUM(R193:W193)</f>
        <v>151023.75</v>
      </c>
      <c r="Z193" s="245">
        <f>Z68*0.015</f>
        <v>175656.75</v>
      </c>
      <c r="AA193" s="245"/>
      <c r="AB193" s="245"/>
      <c r="AC193" s="245"/>
      <c r="AD193" s="245"/>
      <c r="AE193" s="245"/>
      <c r="AF193" s="241">
        <f>SUM(Z193:AE193)</f>
        <v>175656.75</v>
      </c>
      <c r="AH193" s="245">
        <f>AH68*0.0125</f>
        <v>306446.25</v>
      </c>
      <c r="AI193" s="245"/>
      <c r="AJ193" s="245"/>
      <c r="AK193" s="245"/>
      <c r="AL193" s="245"/>
      <c r="AM193" s="245"/>
      <c r="AN193" s="241">
        <f>SUM(AH193:AM193)</f>
        <v>306446.25</v>
      </c>
      <c r="AP193" s="245">
        <v>0</v>
      </c>
      <c r="AQ193" s="245"/>
      <c r="AR193" s="245"/>
      <c r="AS193" s="245"/>
      <c r="AT193" s="245"/>
      <c r="AU193" s="245"/>
      <c r="AV193" s="241">
        <f>SUM(AP193:AU193)</f>
        <v>0</v>
      </c>
      <c r="AX193" s="245">
        <f>AX68*0.0275</f>
        <v>48923.875</v>
      </c>
      <c r="AY193" s="245"/>
      <c r="AZ193" s="245"/>
      <c r="BA193" s="245"/>
      <c r="BB193" s="245"/>
      <c r="BC193" s="245"/>
      <c r="BD193" s="241">
        <f>SUM(AX193:BC193)</f>
        <v>48923.875</v>
      </c>
      <c r="BF193" s="282"/>
      <c r="BG193" s="282"/>
      <c r="BH193" s="282"/>
      <c r="BI193" s="282"/>
      <c r="BJ193" s="282"/>
      <c r="BK193" s="282"/>
      <c r="BL193" s="241">
        <f>SUM(BF193:BK193)</f>
        <v>0</v>
      </c>
      <c r="BN193" s="241">
        <f t="shared" si="352"/>
        <v>1180678.2625</v>
      </c>
      <c r="BO193" s="241">
        <f t="shared" si="352"/>
        <v>0</v>
      </c>
      <c r="BP193" s="241">
        <f t="shared" si="352"/>
        <v>0</v>
      </c>
      <c r="BQ193" s="241">
        <f t="shared" si="352"/>
        <v>0</v>
      </c>
      <c r="BR193" s="241">
        <f t="shared" si="352"/>
        <v>0</v>
      </c>
      <c r="BS193" s="241">
        <f t="shared" si="352"/>
        <v>0</v>
      </c>
      <c r="BT193" s="241">
        <f>SUM(BN193:BS193)</f>
        <v>1180678.2625</v>
      </c>
      <c r="BU193" s="285">
        <f>BT193/BT68</f>
        <v>1.302550415183867E-2</v>
      </c>
    </row>
    <row r="194" spans="1:73" x14ac:dyDescent="0.25">
      <c r="A194" s="213"/>
      <c r="B194" s="258">
        <f>SUM(B174:B193)</f>
        <v>255080.6379194</v>
      </c>
      <c r="C194" s="258">
        <f t="shared" ref="C194:H194" si="354">SUM(C174:C193)</f>
        <v>0</v>
      </c>
      <c r="D194" s="258">
        <f t="shared" si="354"/>
        <v>221625</v>
      </c>
      <c r="E194" s="258">
        <f t="shared" si="354"/>
        <v>0</v>
      </c>
      <c r="F194" s="258">
        <f t="shared" si="354"/>
        <v>0</v>
      </c>
      <c r="G194" s="258">
        <f t="shared" si="354"/>
        <v>300000</v>
      </c>
      <c r="H194" s="258">
        <f t="shared" si="354"/>
        <v>776705.63791940012</v>
      </c>
      <c r="J194" s="258">
        <f>SUM(J174:J193)</f>
        <v>1038665.5711908001</v>
      </c>
      <c r="K194" s="258">
        <f t="shared" ref="K194:P194" si="355">SUM(K174:K193)</f>
        <v>0</v>
      </c>
      <c r="L194" s="258">
        <f t="shared" si="355"/>
        <v>438975</v>
      </c>
      <c r="M194" s="258">
        <f t="shared" si="355"/>
        <v>0</v>
      </c>
      <c r="N194" s="258">
        <f t="shared" si="355"/>
        <v>49770</v>
      </c>
      <c r="O194" s="258">
        <f t="shared" si="355"/>
        <v>1500000</v>
      </c>
      <c r="P194" s="258">
        <f t="shared" si="355"/>
        <v>3027410.5711908001</v>
      </c>
      <c r="R194" s="258">
        <f>SUM(R174:R193)</f>
        <v>394441.66936599999</v>
      </c>
      <c r="S194" s="258">
        <f t="shared" ref="S194:X194" si="356">SUM(S174:S193)</f>
        <v>0</v>
      </c>
      <c r="T194" s="258">
        <f t="shared" si="356"/>
        <v>111375</v>
      </c>
      <c r="U194" s="258">
        <f t="shared" si="356"/>
        <v>0</v>
      </c>
      <c r="V194" s="258">
        <f t="shared" si="356"/>
        <v>0</v>
      </c>
      <c r="W194" s="258">
        <f t="shared" si="356"/>
        <v>850000</v>
      </c>
      <c r="X194" s="258">
        <f t="shared" si="356"/>
        <v>1355816.669366</v>
      </c>
      <c r="Z194" s="258">
        <f>SUM(Z174:Z193)</f>
        <v>464023.1012104</v>
      </c>
      <c r="AA194" s="258">
        <f t="shared" ref="AA194:AF194" si="357">SUM(AA174:AA193)</f>
        <v>0</v>
      </c>
      <c r="AB194" s="258">
        <f t="shared" si="357"/>
        <v>70875</v>
      </c>
      <c r="AC194" s="258">
        <f t="shared" si="357"/>
        <v>0</v>
      </c>
      <c r="AD194" s="258">
        <f t="shared" si="357"/>
        <v>0</v>
      </c>
      <c r="AE194" s="258">
        <f t="shared" si="357"/>
        <v>900000</v>
      </c>
      <c r="AF194" s="258">
        <f t="shared" si="357"/>
        <v>1434898.1012104</v>
      </c>
      <c r="AH194" s="258">
        <f>SUM(AH174:AH193)</f>
        <v>861711.43419840001</v>
      </c>
      <c r="AI194" s="258">
        <f t="shared" ref="AI194:AN194" si="358">SUM(AI174:AI193)</f>
        <v>0</v>
      </c>
      <c r="AJ194" s="258">
        <f t="shared" si="358"/>
        <v>185625</v>
      </c>
      <c r="AK194" s="258">
        <f t="shared" si="358"/>
        <v>0</v>
      </c>
      <c r="AL194" s="258">
        <f t="shared" si="358"/>
        <v>0</v>
      </c>
      <c r="AM194" s="258">
        <f t="shared" si="358"/>
        <v>2500000</v>
      </c>
      <c r="AN194" s="258">
        <f t="shared" si="358"/>
        <v>3547336.4341984</v>
      </c>
      <c r="AP194" s="258">
        <f>SUM(AP174:AP193)</f>
        <v>540190.71716720005</v>
      </c>
      <c r="AQ194" s="258">
        <f t="shared" ref="AQ194:AV194" si="359">SUM(AQ174:AQ193)</f>
        <v>0</v>
      </c>
      <c r="AR194" s="258">
        <f t="shared" si="359"/>
        <v>495450</v>
      </c>
      <c r="AS194" s="258">
        <f t="shared" si="359"/>
        <v>0</v>
      </c>
      <c r="AT194" s="258">
        <f t="shared" si="359"/>
        <v>0</v>
      </c>
      <c r="AU194" s="258">
        <f t="shared" si="359"/>
        <v>100000</v>
      </c>
      <c r="AV194" s="258">
        <f t="shared" si="359"/>
        <v>1135640.7171672001</v>
      </c>
      <c r="AX194" s="258">
        <f>SUM(AX174:AX193)</f>
        <v>108964.9558502</v>
      </c>
      <c r="AY194" s="258">
        <f t="shared" ref="AY194:BD194" si="360">SUM(AY174:AY193)</f>
        <v>0</v>
      </c>
      <c r="AZ194" s="258">
        <f t="shared" si="360"/>
        <v>0</v>
      </c>
      <c r="BA194" s="258">
        <f t="shared" si="360"/>
        <v>0</v>
      </c>
      <c r="BB194" s="258">
        <f t="shared" si="360"/>
        <v>0</v>
      </c>
      <c r="BC194" s="258">
        <f t="shared" si="360"/>
        <v>25000</v>
      </c>
      <c r="BD194" s="258">
        <f t="shared" si="360"/>
        <v>133964.9558502</v>
      </c>
      <c r="BF194" s="258">
        <f>SUM(BF174:BF193)</f>
        <v>29900</v>
      </c>
      <c r="BG194" s="258">
        <f t="shared" ref="BG194:BL194" si="361">SUM(BG174:BG193)</f>
        <v>0</v>
      </c>
      <c r="BH194" s="258">
        <f t="shared" si="361"/>
        <v>0</v>
      </c>
      <c r="BI194" s="258">
        <f t="shared" si="361"/>
        <v>0</v>
      </c>
      <c r="BJ194" s="258">
        <f t="shared" si="361"/>
        <v>337427</v>
      </c>
      <c r="BK194" s="258">
        <f t="shared" si="361"/>
        <v>0</v>
      </c>
      <c r="BL194" s="258">
        <f t="shared" si="361"/>
        <v>367327</v>
      </c>
      <c r="BN194" s="258">
        <f>SUM(BN174:BN193)</f>
        <v>3692978.0869023995</v>
      </c>
      <c r="BO194" s="258">
        <f t="shared" ref="BO194:BT194" si="362">SUM(BO174:BO193)</f>
        <v>0</v>
      </c>
      <c r="BP194" s="258">
        <f t="shared" si="362"/>
        <v>1523925</v>
      </c>
      <c r="BQ194" s="258">
        <f t="shared" si="362"/>
        <v>0</v>
      </c>
      <c r="BR194" s="258">
        <f t="shared" si="362"/>
        <v>387197</v>
      </c>
      <c r="BS194" s="258">
        <f t="shared" si="362"/>
        <v>6175000</v>
      </c>
      <c r="BT194" s="258">
        <f t="shared" si="362"/>
        <v>11779100.086902399</v>
      </c>
    </row>
    <row r="195" spans="1:73" x14ac:dyDescent="0.25">
      <c r="B195" s="259"/>
      <c r="C195" s="259"/>
      <c r="D195" s="259"/>
      <c r="E195" s="259"/>
      <c r="F195" s="259"/>
      <c r="G195" s="259"/>
      <c r="H195" s="259"/>
      <c r="J195" s="259"/>
      <c r="K195" s="259"/>
      <c r="L195" s="259"/>
      <c r="M195" s="259"/>
      <c r="N195" s="259"/>
      <c r="O195" s="259"/>
      <c r="P195" s="259"/>
      <c r="R195" s="259"/>
      <c r="S195" s="259"/>
      <c r="T195" s="259"/>
      <c r="U195" s="259"/>
      <c r="V195" s="259"/>
      <c r="W195" s="259"/>
      <c r="X195" s="259"/>
      <c r="Z195" s="259"/>
      <c r="AA195" s="259"/>
      <c r="AB195" s="259"/>
      <c r="AC195" s="259"/>
      <c r="AD195" s="259"/>
      <c r="AE195" s="259"/>
      <c r="AF195" s="259"/>
      <c r="AH195" s="259"/>
      <c r="AI195" s="259"/>
      <c r="AJ195" s="259"/>
      <c r="AK195" s="259"/>
      <c r="AL195" s="259"/>
      <c r="AM195" s="259"/>
      <c r="AN195" s="259"/>
      <c r="AP195" s="259"/>
      <c r="AQ195" s="259"/>
      <c r="AR195" s="259"/>
      <c r="AS195" s="259"/>
      <c r="AT195" s="259"/>
      <c r="AU195" s="259"/>
      <c r="AV195" s="259"/>
      <c r="AX195" s="259"/>
      <c r="AY195" s="259"/>
      <c r="AZ195" s="259"/>
      <c r="BA195" s="259"/>
      <c r="BB195" s="259"/>
      <c r="BC195" s="259"/>
      <c r="BD195" s="259"/>
      <c r="BF195" s="259"/>
      <c r="BG195" s="259"/>
      <c r="BH195" s="259"/>
      <c r="BI195" s="259"/>
      <c r="BJ195" s="259"/>
      <c r="BK195" s="259"/>
      <c r="BL195" s="259"/>
      <c r="BN195" s="259"/>
      <c r="BO195" s="259"/>
      <c r="BP195" s="259"/>
      <c r="BQ195" s="259"/>
      <c r="BR195" s="259"/>
      <c r="BS195" s="259"/>
      <c r="BT195" s="259"/>
    </row>
    <row r="196" spans="1:73" x14ac:dyDescent="0.25">
      <c r="A196" s="208" t="s">
        <v>337</v>
      </c>
      <c r="B196" s="260" t="s">
        <v>309</v>
      </c>
      <c r="C196" s="260" t="s">
        <v>310</v>
      </c>
      <c r="D196" s="260" t="s">
        <v>311</v>
      </c>
      <c r="E196" s="260" t="str">
        <f>E173</f>
        <v>Other</v>
      </c>
      <c r="F196" s="260" t="s">
        <v>315</v>
      </c>
      <c r="G196" s="260" t="s">
        <v>314</v>
      </c>
      <c r="H196" s="260" t="str">
        <f>H173</f>
        <v>Horizon</v>
      </c>
      <c r="J196" s="260" t="s">
        <v>309</v>
      </c>
      <c r="K196" s="260" t="s">
        <v>310</v>
      </c>
      <c r="L196" s="260" t="s">
        <v>311</v>
      </c>
      <c r="M196" s="260" t="str">
        <f>M173</f>
        <v>Other</v>
      </c>
      <c r="N196" s="260" t="s">
        <v>315</v>
      </c>
      <c r="O196" s="260" t="s">
        <v>314</v>
      </c>
      <c r="P196" s="260" t="str">
        <f>P173</f>
        <v>Cadence</v>
      </c>
      <c r="R196" s="260" t="s">
        <v>309</v>
      </c>
      <c r="S196" s="260" t="s">
        <v>310</v>
      </c>
      <c r="T196" s="260" t="s">
        <v>311</v>
      </c>
      <c r="U196" s="260" t="str">
        <f>U173</f>
        <v>Other</v>
      </c>
      <c r="V196" s="260" t="s">
        <v>315</v>
      </c>
      <c r="W196" s="260" t="s">
        <v>314</v>
      </c>
      <c r="X196" s="260" t="str">
        <f>X173</f>
        <v>St. Rose</v>
      </c>
      <c r="Z196" s="260" t="s">
        <v>309</v>
      </c>
      <c r="AA196" s="260" t="s">
        <v>310</v>
      </c>
      <c r="AB196" s="260" t="s">
        <v>311</v>
      </c>
      <c r="AC196" s="260" t="str">
        <f>AC173</f>
        <v>Other</v>
      </c>
      <c r="AD196" s="260" t="s">
        <v>315</v>
      </c>
      <c r="AE196" s="260" t="s">
        <v>314</v>
      </c>
      <c r="AF196" s="260" t="str">
        <f>AF173</f>
        <v>Inspirada</v>
      </c>
      <c r="AH196" s="260" t="s">
        <v>309</v>
      </c>
      <c r="AI196" s="260" t="s">
        <v>310</v>
      </c>
      <c r="AJ196" s="260" t="s">
        <v>311</v>
      </c>
      <c r="AK196" s="260" t="str">
        <f>AK173</f>
        <v>Other</v>
      </c>
      <c r="AL196" s="260" t="s">
        <v>315</v>
      </c>
      <c r="AM196" s="260" t="s">
        <v>314</v>
      </c>
      <c r="AN196" s="260" t="str">
        <f>AN173</f>
        <v>Sloan</v>
      </c>
      <c r="AP196" s="260" t="s">
        <v>309</v>
      </c>
      <c r="AQ196" s="260" t="s">
        <v>310</v>
      </c>
      <c r="AR196" s="260" t="s">
        <v>311</v>
      </c>
      <c r="AS196" s="260" t="str">
        <f>AS173</f>
        <v>Other</v>
      </c>
      <c r="AT196" s="260" t="s">
        <v>315</v>
      </c>
      <c r="AU196" s="260" t="s">
        <v>314</v>
      </c>
      <c r="AV196" s="260" t="str">
        <f>AV173</f>
        <v>Springs</v>
      </c>
      <c r="AX196" s="260" t="s">
        <v>309</v>
      </c>
      <c r="AY196" s="260" t="s">
        <v>310</v>
      </c>
      <c r="AZ196" s="260" t="s">
        <v>311</v>
      </c>
      <c r="BA196" s="260" t="str">
        <f>BA173</f>
        <v>Other</v>
      </c>
      <c r="BB196" s="260" t="s">
        <v>315</v>
      </c>
      <c r="BC196" s="260" t="s">
        <v>314</v>
      </c>
      <c r="BD196" s="260" t="str">
        <f>BD173</f>
        <v>Virtual</v>
      </c>
      <c r="BF196" s="260" t="s">
        <v>309</v>
      </c>
      <c r="BG196" s="260" t="s">
        <v>310</v>
      </c>
      <c r="BH196" s="260" t="s">
        <v>311</v>
      </c>
      <c r="BI196" s="260" t="str">
        <f>BI173</f>
        <v>Other</v>
      </c>
      <c r="BJ196" s="260" t="s">
        <v>315</v>
      </c>
      <c r="BK196" s="260" t="s">
        <v>314</v>
      </c>
      <c r="BL196" s="260" t="str">
        <f>BL173</f>
        <v>Central</v>
      </c>
      <c r="BN196" s="260" t="s">
        <v>309</v>
      </c>
      <c r="BO196" s="260" t="s">
        <v>310</v>
      </c>
      <c r="BP196" s="260" t="s">
        <v>311</v>
      </c>
      <c r="BQ196" s="260" t="str">
        <f>BQ173</f>
        <v>Other</v>
      </c>
      <c r="BR196" s="260" t="s">
        <v>315</v>
      </c>
      <c r="BS196" s="260" t="s">
        <v>314</v>
      </c>
      <c r="BT196" s="260" t="str">
        <f>BT173</f>
        <v>System</v>
      </c>
    </row>
    <row r="197" spans="1:73" x14ac:dyDescent="0.25">
      <c r="A197" s="214" t="s">
        <v>294</v>
      </c>
      <c r="B197" s="241">
        <f>115000*1.02*1.02*1.02</f>
        <v>122038.92</v>
      </c>
      <c r="C197" s="257"/>
      <c r="D197" s="257"/>
      <c r="E197" s="257"/>
      <c r="F197" s="257"/>
      <c r="G197" s="257"/>
      <c r="H197" s="241">
        <f>SUM(B197:G197)</f>
        <v>122038.92</v>
      </c>
      <c r="J197" s="241">
        <f>275000*1.02*1.02*1.02</f>
        <v>291832.2</v>
      </c>
      <c r="K197" s="257"/>
      <c r="L197" s="257"/>
      <c r="M197" s="257"/>
      <c r="N197" s="257"/>
      <c r="O197" s="257"/>
      <c r="P197" s="241">
        <f>SUM(J197:O197)</f>
        <v>291832.2</v>
      </c>
      <c r="R197" s="241">
        <f>95000*1.02*1.02*1.02</f>
        <v>100814.76</v>
      </c>
      <c r="S197" s="257"/>
      <c r="T197" s="257"/>
      <c r="U197" s="257"/>
      <c r="V197" s="257"/>
      <c r="W197" s="257"/>
      <c r="X197" s="241">
        <f>SUM(R197:W197)</f>
        <v>100814.76</v>
      </c>
      <c r="Z197" s="241">
        <f>120000*1.02*1.02*1.02</f>
        <v>127344.96000000001</v>
      </c>
      <c r="AA197" s="257"/>
      <c r="AB197" s="257"/>
      <c r="AC197" s="257"/>
      <c r="AD197" s="257"/>
      <c r="AE197" s="257"/>
      <c r="AF197" s="241">
        <f>SUM(Z197:AE197)</f>
        <v>127344.96000000001</v>
      </c>
      <c r="AH197" s="241">
        <f>275000*1.02*1.02*1.02</f>
        <v>291832.2</v>
      </c>
      <c r="AI197" s="257"/>
      <c r="AJ197" s="257"/>
      <c r="AK197" s="257"/>
      <c r="AL197" s="257"/>
      <c r="AM197" s="257"/>
      <c r="AN197" s="241">
        <f>SUM(AH197:AM197)</f>
        <v>291832.2</v>
      </c>
      <c r="AP197" s="241">
        <f>90000*1.03*1.02</f>
        <v>94554</v>
      </c>
      <c r="AQ197" s="257"/>
      <c r="AR197" s="257"/>
      <c r="AS197" s="257"/>
      <c r="AT197" s="257"/>
      <c r="AU197" s="257"/>
      <c r="AV197" s="241">
        <f>SUM(AP197:AU197)</f>
        <v>94554</v>
      </c>
      <c r="AX197" s="241"/>
      <c r="AY197" s="257"/>
      <c r="AZ197" s="257"/>
      <c r="BA197" s="257"/>
      <c r="BB197" s="257"/>
      <c r="BC197" s="257"/>
      <c r="BD197" s="241">
        <f>SUM(AX197:BC197)</f>
        <v>0</v>
      </c>
      <c r="BF197" s="241"/>
      <c r="BG197" s="257"/>
      <c r="BH197" s="257"/>
      <c r="BI197" s="257"/>
      <c r="BJ197" s="257"/>
      <c r="BK197" s="257"/>
      <c r="BL197" s="241">
        <f>SUM(BF197:BK197)</f>
        <v>0</v>
      </c>
      <c r="BN197" s="241">
        <f>B197+J197+R197+Z197+AH197+AP197+AX197+BF197</f>
        <v>1028417.04</v>
      </c>
      <c r="BO197" s="241">
        <f t="shared" ref="BO197:BS206" si="363">C197+K197+S197+AA197+AI197+AQ197+AY197+BG197</f>
        <v>0</v>
      </c>
      <c r="BP197" s="241">
        <f t="shared" si="363"/>
        <v>0</v>
      </c>
      <c r="BQ197" s="241">
        <f t="shared" si="363"/>
        <v>0</v>
      </c>
      <c r="BR197" s="241">
        <f t="shared" si="363"/>
        <v>0</v>
      </c>
      <c r="BS197" s="241">
        <f t="shared" si="363"/>
        <v>0</v>
      </c>
      <c r="BT197" s="241">
        <f>SUM(BN197:BS197)</f>
        <v>1028417.04</v>
      </c>
    </row>
    <row r="198" spans="1:73" x14ac:dyDescent="0.25">
      <c r="A198" s="211" t="s">
        <v>295</v>
      </c>
      <c r="B198" s="241">
        <f>8000*1.02*1.02*1.02</f>
        <v>8489.6640000000007</v>
      </c>
      <c r="C198" s="244"/>
      <c r="D198" s="244"/>
      <c r="E198" s="244"/>
      <c r="F198" s="244"/>
      <c r="G198" s="244"/>
      <c r="H198" s="241">
        <f t="shared" ref="H198:H206" si="364">SUM(B198:G198)</f>
        <v>8489.6640000000007</v>
      </c>
      <c r="J198" s="241">
        <v>0</v>
      </c>
      <c r="K198" s="244"/>
      <c r="L198" s="244"/>
      <c r="M198" s="244"/>
      <c r="N198" s="244"/>
      <c r="O198" s="244"/>
      <c r="P198" s="241">
        <f t="shared" ref="P198:P206" si="365">SUM(J198:O198)</f>
        <v>0</v>
      </c>
      <c r="R198" s="241">
        <v>0</v>
      </c>
      <c r="S198" s="244"/>
      <c r="T198" s="244"/>
      <c r="U198" s="244"/>
      <c r="V198" s="244"/>
      <c r="W198" s="244"/>
      <c r="X198" s="241">
        <f t="shared" ref="X198:X206" si="366">SUM(R198:W198)</f>
        <v>0</v>
      </c>
      <c r="Z198" s="241">
        <v>0</v>
      </c>
      <c r="AA198" s="244"/>
      <c r="AB198" s="244"/>
      <c r="AC198" s="244"/>
      <c r="AD198" s="244"/>
      <c r="AE198" s="244"/>
      <c r="AF198" s="241">
        <f t="shared" ref="AF198:AF206" si="367">SUM(Z198:AE198)</f>
        <v>0</v>
      </c>
      <c r="AH198" s="241">
        <v>0</v>
      </c>
      <c r="AI198" s="244"/>
      <c r="AJ198" s="244"/>
      <c r="AK198" s="244"/>
      <c r="AL198" s="244"/>
      <c r="AM198" s="244"/>
      <c r="AN198" s="241">
        <f t="shared" ref="AN198:AN206" si="368">SUM(AH198:AM198)</f>
        <v>0</v>
      </c>
      <c r="AP198" s="241">
        <v>0</v>
      </c>
      <c r="AQ198" s="244"/>
      <c r="AR198" s="244"/>
      <c r="AS198" s="244"/>
      <c r="AT198" s="244"/>
      <c r="AU198" s="244"/>
      <c r="AV198" s="241">
        <f t="shared" ref="AV198:AV206" si="369">SUM(AP198:AU198)</f>
        <v>0</v>
      </c>
      <c r="AX198" s="241"/>
      <c r="AY198" s="244"/>
      <c r="AZ198" s="244"/>
      <c r="BA198" s="244"/>
      <c r="BB198" s="244"/>
      <c r="BC198" s="244"/>
      <c r="BD198" s="241">
        <f t="shared" ref="BD198:BD206" si="370">SUM(AX198:BC198)</f>
        <v>0</v>
      </c>
      <c r="BF198" s="241"/>
      <c r="BG198" s="244"/>
      <c r="BH198" s="244"/>
      <c r="BI198" s="244"/>
      <c r="BJ198" s="244"/>
      <c r="BK198" s="244"/>
      <c r="BL198" s="241">
        <f t="shared" ref="BL198:BL206" si="371">SUM(BF198:BK198)</f>
        <v>0</v>
      </c>
      <c r="BN198" s="241">
        <f t="shared" ref="BN198:BN206" si="372">B198+J198+R198+Z198+AH198+AP198+AX198+BF198</f>
        <v>8489.6640000000007</v>
      </c>
      <c r="BO198" s="241">
        <f t="shared" si="363"/>
        <v>0</v>
      </c>
      <c r="BP198" s="241">
        <f t="shared" si="363"/>
        <v>0</v>
      </c>
      <c r="BQ198" s="241">
        <f t="shared" si="363"/>
        <v>0</v>
      </c>
      <c r="BR198" s="241">
        <f t="shared" si="363"/>
        <v>0</v>
      </c>
      <c r="BS198" s="241">
        <f t="shared" si="363"/>
        <v>0</v>
      </c>
      <c r="BT198" s="241">
        <f t="shared" ref="BT198:BT206" si="373">SUM(BN198:BS198)</f>
        <v>8489.6640000000007</v>
      </c>
    </row>
    <row r="199" spans="1:73" x14ac:dyDescent="0.25">
      <c r="A199" s="211" t="s">
        <v>296</v>
      </c>
      <c r="B199" s="241">
        <f>32500*1.02*1.02*1.02</f>
        <v>34489.26</v>
      </c>
      <c r="C199" s="244"/>
      <c r="D199" s="244"/>
      <c r="E199" s="244"/>
      <c r="F199" s="244"/>
      <c r="G199" s="244"/>
      <c r="H199" s="241">
        <f t="shared" si="364"/>
        <v>34489.26</v>
      </c>
      <c r="J199" s="241">
        <f>50000*1.02*1.01*1.015</f>
        <v>52282.649999999994</v>
      </c>
      <c r="K199" s="244"/>
      <c r="L199" s="244"/>
      <c r="M199" s="244"/>
      <c r="N199" s="244"/>
      <c r="O199" s="244"/>
      <c r="P199" s="241">
        <f t="shared" si="365"/>
        <v>52282.649999999994</v>
      </c>
      <c r="R199" s="241">
        <f>((8400*4)+(1500*8))*1.02*1.02*1.02</f>
        <v>48391.084799999997</v>
      </c>
      <c r="S199" s="244"/>
      <c r="T199" s="244"/>
      <c r="U199" s="244"/>
      <c r="V199" s="244"/>
      <c r="W199" s="244"/>
      <c r="X199" s="241">
        <f t="shared" si="366"/>
        <v>48391.084799999997</v>
      </c>
      <c r="Z199" s="241">
        <f>20000*1.02*1.01*1.02</f>
        <v>21016.080000000002</v>
      </c>
      <c r="AA199" s="244"/>
      <c r="AB199" s="244"/>
      <c r="AC199" s="244"/>
      <c r="AD199" s="244"/>
      <c r="AE199" s="244"/>
      <c r="AF199" s="241">
        <f t="shared" si="367"/>
        <v>21016.080000000002</v>
      </c>
      <c r="AH199" s="241">
        <f>40000*1.02*1.02*1.02</f>
        <v>42448.32</v>
      </c>
      <c r="AI199" s="244"/>
      <c r="AJ199" s="244"/>
      <c r="AK199" s="244"/>
      <c r="AL199" s="244"/>
      <c r="AM199" s="244"/>
      <c r="AN199" s="241">
        <f t="shared" si="368"/>
        <v>42448.32</v>
      </c>
      <c r="AP199" s="241">
        <f>26000*1.03*1.02</f>
        <v>27315.600000000002</v>
      </c>
      <c r="AQ199" s="244"/>
      <c r="AR199" s="244"/>
      <c r="AS199" s="244"/>
      <c r="AT199" s="244"/>
      <c r="AU199" s="244"/>
      <c r="AV199" s="241">
        <f t="shared" si="369"/>
        <v>27315.600000000002</v>
      </c>
      <c r="AX199" s="241"/>
      <c r="AY199" s="244"/>
      <c r="AZ199" s="244"/>
      <c r="BA199" s="244"/>
      <c r="BB199" s="244"/>
      <c r="BC199" s="244"/>
      <c r="BD199" s="241">
        <f t="shared" si="370"/>
        <v>0</v>
      </c>
      <c r="BF199" s="241"/>
      <c r="BG199" s="244"/>
      <c r="BH199" s="244"/>
      <c r="BI199" s="244"/>
      <c r="BJ199" s="244"/>
      <c r="BK199" s="244"/>
      <c r="BL199" s="241">
        <f t="shared" si="371"/>
        <v>0</v>
      </c>
      <c r="BN199" s="241">
        <f t="shared" si="372"/>
        <v>225942.99480000001</v>
      </c>
      <c r="BO199" s="241">
        <f t="shared" si="363"/>
        <v>0</v>
      </c>
      <c r="BP199" s="241">
        <f t="shared" si="363"/>
        <v>0</v>
      </c>
      <c r="BQ199" s="241">
        <f t="shared" si="363"/>
        <v>0</v>
      </c>
      <c r="BR199" s="241">
        <f t="shared" si="363"/>
        <v>0</v>
      </c>
      <c r="BS199" s="241">
        <f t="shared" si="363"/>
        <v>0</v>
      </c>
      <c r="BT199" s="241">
        <f t="shared" si="373"/>
        <v>225942.99480000001</v>
      </c>
    </row>
    <row r="200" spans="1:73" x14ac:dyDescent="0.25">
      <c r="A200" s="211" t="s">
        <v>297</v>
      </c>
      <c r="B200" s="241">
        <f>24000*1.02*1.02*1.02</f>
        <v>25468.992000000002</v>
      </c>
      <c r="C200" s="244"/>
      <c r="D200" s="244"/>
      <c r="E200" s="244"/>
      <c r="F200" s="244"/>
      <c r="G200" s="244"/>
      <c r="H200" s="241">
        <f t="shared" si="364"/>
        <v>25468.992000000002</v>
      </c>
      <c r="J200" s="241">
        <f>65000*1.02*1.02*1.02</f>
        <v>68978.52</v>
      </c>
      <c r="K200" s="244"/>
      <c r="L200" s="244"/>
      <c r="M200" s="244"/>
      <c r="N200" s="244"/>
      <c r="O200" s="244"/>
      <c r="P200" s="241">
        <f t="shared" si="365"/>
        <v>68978.52</v>
      </c>
      <c r="R200" s="241">
        <f>19000*1.02*1.02*1.02</f>
        <v>20162.951999999997</v>
      </c>
      <c r="S200" s="244"/>
      <c r="T200" s="244"/>
      <c r="U200" s="244"/>
      <c r="V200" s="244"/>
      <c r="W200" s="244"/>
      <c r="X200" s="241">
        <f t="shared" si="366"/>
        <v>20162.951999999997</v>
      </c>
      <c r="Z200" s="241">
        <f>33000*1.02*1.01*1.02</f>
        <v>34676.531999999999</v>
      </c>
      <c r="AA200" s="244"/>
      <c r="AB200" s="244"/>
      <c r="AC200" s="244"/>
      <c r="AD200" s="244"/>
      <c r="AE200" s="244"/>
      <c r="AF200" s="241">
        <f t="shared" si="367"/>
        <v>34676.531999999999</v>
      </c>
      <c r="AH200" s="241">
        <f>62500*1.02*1.02*1.02</f>
        <v>66325.5</v>
      </c>
      <c r="AI200" s="244"/>
      <c r="AJ200" s="244"/>
      <c r="AK200" s="244"/>
      <c r="AL200" s="244"/>
      <c r="AM200" s="244"/>
      <c r="AN200" s="241">
        <f t="shared" si="368"/>
        <v>66325.5</v>
      </c>
      <c r="AP200" s="241">
        <f>22500*1.03*1.02</f>
        <v>23638.5</v>
      </c>
      <c r="AQ200" s="244"/>
      <c r="AR200" s="244"/>
      <c r="AS200" s="244"/>
      <c r="AT200" s="244"/>
      <c r="AU200" s="244"/>
      <c r="AV200" s="241">
        <f t="shared" si="369"/>
        <v>23638.5</v>
      </c>
      <c r="AX200" s="241"/>
      <c r="AY200" s="244"/>
      <c r="AZ200" s="244"/>
      <c r="BA200" s="244"/>
      <c r="BB200" s="244"/>
      <c r="BC200" s="244"/>
      <c r="BD200" s="241">
        <f t="shared" si="370"/>
        <v>0</v>
      </c>
      <c r="BF200" s="241"/>
      <c r="BG200" s="244"/>
      <c r="BH200" s="244"/>
      <c r="BI200" s="244"/>
      <c r="BJ200" s="244"/>
      <c r="BK200" s="244"/>
      <c r="BL200" s="241">
        <f t="shared" si="371"/>
        <v>0</v>
      </c>
      <c r="BN200" s="241">
        <f t="shared" si="372"/>
        <v>239250.99600000001</v>
      </c>
      <c r="BO200" s="241">
        <f t="shared" si="363"/>
        <v>0</v>
      </c>
      <c r="BP200" s="241">
        <f t="shared" si="363"/>
        <v>0</v>
      </c>
      <c r="BQ200" s="241">
        <f t="shared" si="363"/>
        <v>0</v>
      </c>
      <c r="BR200" s="241">
        <f t="shared" si="363"/>
        <v>0</v>
      </c>
      <c r="BS200" s="241">
        <f t="shared" si="363"/>
        <v>0</v>
      </c>
      <c r="BT200" s="241">
        <f t="shared" si="373"/>
        <v>239250.99600000001</v>
      </c>
    </row>
    <row r="201" spans="1:73" x14ac:dyDescent="0.25">
      <c r="A201" s="211" t="s">
        <v>298</v>
      </c>
      <c r="B201" s="241">
        <f>12500*1.02*1.02*1.02</f>
        <v>13265.1</v>
      </c>
      <c r="C201" s="244"/>
      <c r="D201" s="244"/>
      <c r="E201" s="244"/>
      <c r="F201" s="244"/>
      <c r="G201" s="244"/>
      <c r="H201" s="241">
        <f t="shared" si="364"/>
        <v>13265.1</v>
      </c>
      <c r="J201" s="241">
        <f>33000*1.02*1.01*1.015</f>
        <v>34506.548999999992</v>
      </c>
      <c r="K201" s="244"/>
      <c r="L201" s="244"/>
      <c r="M201" s="244"/>
      <c r="N201" s="244"/>
      <c r="O201" s="244"/>
      <c r="P201" s="241">
        <f t="shared" si="365"/>
        <v>34506.548999999992</v>
      </c>
      <c r="R201" s="241">
        <f>8500*1.02*1.02*1.02</f>
        <v>9020.268</v>
      </c>
      <c r="S201" s="244"/>
      <c r="T201" s="244"/>
      <c r="U201" s="244"/>
      <c r="V201" s="244"/>
      <c r="W201" s="244"/>
      <c r="X201" s="241">
        <f t="shared" si="366"/>
        <v>9020.268</v>
      </c>
      <c r="Z201" s="241">
        <f>15000*1.02*1.02*1.02</f>
        <v>15918.12</v>
      </c>
      <c r="AA201" s="244"/>
      <c r="AB201" s="244"/>
      <c r="AC201" s="244"/>
      <c r="AD201" s="244"/>
      <c r="AE201" s="244"/>
      <c r="AF201" s="241">
        <f t="shared" si="367"/>
        <v>15918.12</v>
      </c>
      <c r="AH201" s="241">
        <f>16000*1.02*1.02*1.02</f>
        <v>16979.328000000001</v>
      </c>
      <c r="AI201" s="244"/>
      <c r="AJ201" s="244"/>
      <c r="AK201" s="244"/>
      <c r="AL201" s="244"/>
      <c r="AM201" s="244"/>
      <c r="AN201" s="241">
        <f t="shared" si="368"/>
        <v>16979.328000000001</v>
      </c>
      <c r="AP201" s="241">
        <f>12000*1.02*1.02</f>
        <v>12484.800000000001</v>
      </c>
      <c r="AQ201" s="244"/>
      <c r="AR201" s="244"/>
      <c r="AS201" s="244"/>
      <c r="AT201" s="244"/>
      <c r="AU201" s="244"/>
      <c r="AV201" s="241">
        <f t="shared" si="369"/>
        <v>12484.800000000001</v>
      </c>
      <c r="AX201" s="241"/>
      <c r="AY201" s="244"/>
      <c r="AZ201" s="244"/>
      <c r="BA201" s="244"/>
      <c r="BB201" s="244"/>
      <c r="BC201" s="244"/>
      <c r="BD201" s="241">
        <f t="shared" si="370"/>
        <v>0</v>
      </c>
      <c r="BF201" s="241"/>
      <c r="BG201" s="244"/>
      <c r="BH201" s="244"/>
      <c r="BI201" s="244"/>
      <c r="BJ201" s="244"/>
      <c r="BK201" s="244"/>
      <c r="BL201" s="241">
        <f t="shared" si="371"/>
        <v>0</v>
      </c>
      <c r="BN201" s="241">
        <f t="shared" si="372"/>
        <v>102174.16499999999</v>
      </c>
      <c r="BO201" s="241">
        <f t="shared" si="363"/>
        <v>0</v>
      </c>
      <c r="BP201" s="241">
        <f t="shared" si="363"/>
        <v>0</v>
      </c>
      <c r="BQ201" s="241">
        <f t="shared" si="363"/>
        <v>0</v>
      </c>
      <c r="BR201" s="241">
        <f t="shared" si="363"/>
        <v>0</v>
      </c>
      <c r="BS201" s="241">
        <f t="shared" si="363"/>
        <v>0</v>
      </c>
      <c r="BT201" s="241">
        <f t="shared" si="373"/>
        <v>102174.16499999999</v>
      </c>
    </row>
    <row r="202" spans="1:73" x14ac:dyDescent="0.25">
      <c r="A202" s="211" t="s">
        <v>299</v>
      </c>
      <c r="B202" s="241">
        <f>(9235*13)*1.05*1.03*1.03</f>
        <v>133734.666975</v>
      </c>
      <c r="C202" s="244"/>
      <c r="D202" s="244"/>
      <c r="E202" s="244"/>
      <c r="F202" s="244"/>
      <c r="G202" s="244"/>
      <c r="H202" s="241">
        <f t="shared" si="364"/>
        <v>133734.666975</v>
      </c>
      <c r="J202" s="241">
        <f>((19825*13)+12500+15500)*1.05*1.03*1.04</f>
        <v>321372.05100000004</v>
      </c>
      <c r="K202" s="244"/>
      <c r="L202" s="244"/>
      <c r="M202" s="244"/>
      <c r="N202" s="244"/>
      <c r="O202" s="244"/>
      <c r="P202" s="241">
        <f t="shared" si="365"/>
        <v>321372.05100000004</v>
      </c>
      <c r="R202" s="241">
        <f>(7770*13)*1.05*1.03*1.03</f>
        <v>112519.58445000001</v>
      </c>
      <c r="S202" s="244"/>
      <c r="T202" s="244"/>
      <c r="U202" s="244"/>
      <c r="V202" s="244"/>
      <c r="W202" s="244"/>
      <c r="X202" s="241">
        <f t="shared" si="366"/>
        <v>112519.58445000001</v>
      </c>
      <c r="Z202" s="241">
        <f>(8950*13)*1.05*1.03*1.035</f>
        <v>130236.663375</v>
      </c>
      <c r="AA202" s="244"/>
      <c r="AB202" s="244"/>
      <c r="AC202" s="244"/>
      <c r="AD202" s="244"/>
      <c r="AE202" s="244"/>
      <c r="AF202" s="241">
        <f t="shared" si="367"/>
        <v>130236.663375</v>
      </c>
      <c r="AH202" s="241">
        <f>((37000*12.5)+12500)*1.04*1.03*1.03</f>
        <v>524084.60000000003</v>
      </c>
      <c r="AI202" s="244"/>
      <c r="AJ202" s="244"/>
      <c r="AK202" s="244"/>
      <c r="AL202" s="244"/>
      <c r="AM202" s="244"/>
      <c r="AN202" s="241">
        <f t="shared" si="368"/>
        <v>524084.60000000003</v>
      </c>
      <c r="AP202" s="241">
        <f>(7500*12)*1.04*1.03</f>
        <v>96408</v>
      </c>
      <c r="AQ202" s="244"/>
      <c r="AR202" s="244"/>
      <c r="AS202" s="244"/>
      <c r="AT202" s="244"/>
      <c r="AU202" s="244"/>
      <c r="AV202" s="241">
        <f t="shared" si="369"/>
        <v>96408</v>
      </c>
      <c r="AX202" s="241"/>
      <c r="AY202" s="244"/>
      <c r="AZ202" s="244"/>
      <c r="BA202" s="244"/>
      <c r="BB202" s="244"/>
      <c r="BC202" s="244"/>
      <c r="BD202" s="241">
        <f t="shared" si="370"/>
        <v>0</v>
      </c>
      <c r="BF202" s="241"/>
      <c r="BG202" s="244"/>
      <c r="BH202" s="244"/>
      <c r="BI202" s="244"/>
      <c r="BJ202" s="244"/>
      <c r="BK202" s="244"/>
      <c r="BL202" s="241">
        <f t="shared" si="371"/>
        <v>0</v>
      </c>
      <c r="BN202" s="241">
        <f t="shared" si="372"/>
        <v>1318355.5658</v>
      </c>
      <c r="BO202" s="241">
        <f t="shared" si="363"/>
        <v>0</v>
      </c>
      <c r="BP202" s="241">
        <f t="shared" si="363"/>
        <v>0</v>
      </c>
      <c r="BQ202" s="241">
        <f t="shared" si="363"/>
        <v>0</v>
      </c>
      <c r="BR202" s="241">
        <f t="shared" si="363"/>
        <v>0</v>
      </c>
      <c r="BS202" s="241">
        <f t="shared" si="363"/>
        <v>0</v>
      </c>
      <c r="BT202" s="241">
        <f t="shared" si="373"/>
        <v>1318355.5658</v>
      </c>
    </row>
    <row r="203" spans="1:73" x14ac:dyDescent="0.25">
      <c r="A203" s="211" t="s">
        <v>300</v>
      </c>
      <c r="B203" s="241">
        <f>100000+5000+5000+5000</f>
        <v>115000</v>
      </c>
      <c r="C203" s="244"/>
      <c r="D203" s="244"/>
      <c r="E203" s="244"/>
      <c r="F203" s="244"/>
      <c r="G203" s="244"/>
      <c r="H203" s="241">
        <f t="shared" si="364"/>
        <v>115000</v>
      </c>
      <c r="J203" s="241">
        <f>235000+10000+10000</f>
        <v>255000</v>
      </c>
      <c r="K203" s="244"/>
      <c r="L203" s="244"/>
      <c r="M203" s="244"/>
      <c r="N203" s="244"/>
      <c r="O203" s="244"/>
      <c r="P203" s="241">
        <f t="shared" si="365"/>
        <v>255000</v>
      </c>
      <c r="R203" s="241">
        <f>105000+5000+5000+5000</f>
        <v>120000</v>
      </c>
      <c r="S203" s="244"/>
      <c r="T203" s="244"/>
      <c r="U203" s="244"/>
      <c r="V203" s="244"/>
      <c r="W203" s="244"/>
      <c r="X203" s="241">
        <f t="shared" si="366"/>
        <v>120000</v>
      </c>
      <c r="Z203" s="241">
        <f>150000+5000+5000+5000</f>
        <v>165000</v>
      </c>
      <c r="AA203" s="244"/>
      <c r="AB203" s="244"/>
      <c r="AC203" s="244"/>
      <c r="AD203" s="244"/>
      <c r="AE203" s="244"/>
      <c r="AF203" s="241">
        <f t="shared" si="367"/>
        <v>165000</v>
      </c>
      <c r="AH203" s="241">
        <f>165000+5000+5000+5000</f>
        <v>180000</v>
      </c>
      <c r="AI203" s="244"/>
      <c r="AJ203" s="244"/>
      <c r="AK203" s="244"/>
      <c r="AL203" s="244"/>
      <c r="AM203" s="244"/>
      <c r="AN203" s="241">
        <f t="shared" si="368"/>
        <v>180000</v>
      </c>
      <c r="AP203" s="241">
        <f>55000+10000+5000</f>
        <v>70000</v>
      </c>
      <c r="AQ203" s="244"/>
      <c r="AR203" s="244"/>
      <c r="AS203" s="244"/>
      <c r="AT203" s="244"/>
      <c r="AU203" s="244"/>
      <c r="AV203" s="241">
        <f t="shared" si="369"/>
        <v>70000</v>
      </c>
      <c r="AX203" s="241"/>
      <c r="AY203" s="244"/>
      <c r="AZ203" s="244"/>
      <c r="BA203" s="244"/>
      <c r="BB203" s="244"/>
      <c r="BC203" s="244"/>
      <c r="BD203" s="241">
        <f t="shared" si="370"/>
        <v>0</v>
      </c>
      <c r="BF203" s="241"/>
      <c r="BG203" s="244"/>
      <c r="BH203" s="244"/>
      <c r="BI203" s="244"/>
      <c r="BJ203" s="244"/>
      <c r="BK203" s="244"/>
      <c r="BL203" s="241">
        <f t="shared" si="371"/>
        <v>0</v>
      </c>
      <c r="BN203" s="241">
        <f t="shared" si="372"/>
        <v>905000</v>
      </c>
      <c r="BO203" s="241">
        <f t="shared" si="363"/>
        <v>0</v>
      </c>
      <c r="BP203" s="241">
        <f t="shared" si="363"/>
        <v>0</v>
      </c>
      <c r="BQ203" s="241">
        <f t="shared" si="363"/>
        <v>0</v>
      </c>
      <c r="BR203" s="241">
        <f t="shared" si="363"/>
        <v>0</v>
      </c>
      <c r="BS203" s="241">
        <f t="shared" si="363"/>
        <v>0</v>
      </c>
      <c r="BT203" s="241">
        <f t="shared" si="373"/>
        <v>905000</v>
      </c>
    </row>
    <row r="204" spans="1:73" x14ac:dyDescent="0.25">
      <c r="A204" s="211" t="s">
        <v>301</v>
      </c>
      <c r="B204" s="241">
        <v>0</v>
      </c>
      <c r="C204" s="244"/>
      <c r="D204" s="244"/>
      <c r="E204" s="244"/>
      <c r="F204" s="244"/>
      <c r="G204" s="244"/>
      <c r="H204" s="241">
        <f t="shared" si="364"/>
        <v>0</v>
      </c>
      <c r="J204" s="241">
        <v>0</v>
      </c>
      <c r="K204" s="244"/>
      <c r="L204" s="244"/>
      <c r="M204" s="244"/>
      <c r="N204" s="244"/>
      <c r="O204" s="244"/>
      <c r="P204" s="241">
        <f t="shared" si="365"/>
        <v>0</v>
      </c>
      <c r="R204" s="241">
        <v>0</v>
      </c>
      <c r="S204" s="244"/>
      <c r="T204" s="244"/>
      <c r="U204" s="244"/>
      <c r="V204" s="244"/>
      <c r="W204" s="244"/>
      <c r="X204" s="241">
        <f t="shared" si="366"/>
        <v>0</v>
      </c>
      <c r="Z204" s="241"/>
      <c r="AA204" s="244"/>
      <c r="AB204" s="244"/>
      <c r="AC204" s="244"/>
      <c r="AD204" s="244"/>
      <c r="AE204" s="244"/>
      <c r="AF204" s="241">
        <f t="shared" si="367"/>
        <v>0</v>
      </c>
      <c r="AH204" s="241"/>
      <c r="AI204" s="244"/>
      <c r="AJ204" s="244"/>
      <c r="AK204" s="244"/>
      <c r="AL204" s="244"/>
      <c r="AM204" s="244"/>
      <c r="AN204" s="241">
        <f t="shared" si="368"/>
        <v>0</v>
      </c>
      <c r="AP204" s="241">
        <v>0</v>
      </c>
      <c r="AQ204" s="244"/>
      <c r="AR204" s="244"/>
      <c r="AS204" s="244"/>
      <c r="AT204" s="244"/>
      <c r="AU204" s="244"/>
      <c r="AV204" s="241">
        <f t="shared" si="369"/>
        <v>0</v>
      </c>
      <c r="AX204" s="241"/>
      <c r="AY204" s="244"/>
      <c r="AZ204" s="244"/>
      <c r="BA204" s="244"/>
      <c r="BB204" s="244"/>
      <c r="BC204" s="244"/>
      <c r="BD204" s="241">
        <f t="shared" si="370"/>
        <v>0</v>
      </c>
      <c r="BF204" s="241"/>
      <c r="BG204" s="244"/>
      <c r="BH204" s="244"/>
      <c r="BI204" s="244"/>
      <c r="BJ204" s="244"/>
      <c r="BK204" s="244"/>
      <c r="BL204" s="241">
        <f t="shared" si="371"/>
        <v>0</v>
      </c>
      <c r="BN204" s="241">
        <f t="shared" si="372"/>
        <v>0</v>
      </c>
      <c r="BO204" s="241">
        <f t="shared" si="363"/>
        <v>0</v>
      </c>
      <c r="BP204" s="241">
        <f t="shared" si="363"/>
        <v>0</v>
      </c>
      <c r="BQ204" s="241">
        <f t="shared" si="363"/>
        <v>0</v>
      </c>
      <c r="BR204" s="241">
        <f t="shared" si="363"/>
        <v>0</v>
      </c>
      <c r="BS204" s="241">
        <f t="shared" si="363"/>
        <v>0</v>
      </c>
      <c r="BT204" s="241">
        <f t="shared" si="373"/>
        <v>0</v>
      </c>
    </row>
    <row r="205" spans="1:73" x14ac:dyDescent="0.25">
      <c r="A205" s="211" t="s">
        <v>302</v>
      </c>
      <c r="B205" s="241">
        <f>(((700*1.04)*12)+17500)*1.03*1.03*1.03</f>
        <v>28668.785572000001</v>
      </c>
      <c r="C205" s="244"/>
      <c r="D205" s="244"/>
      <c r="E205" s="244"/>
      <c r="F205" s="244"/>
      <c r="G205" s="244"/>
      <c r="H205" s="241">
        <f t="shared" si="364"/>
        <v>28668.785572000001</v>
      </c>
      <c r="J205" s="241">
        <f>(((1200*1.04)*12)+20000)*1.02*1.03*1.03</f>
        <v>37848.159168000006</v>
      </c>
      <c r="K205" s="244"/>
      <c r="L205" s="244"/>
      <c r="M205" s="244"/>
      <c r="N205" s="244"/>
      <c r="O205" s="244"/>
      <c r="P205" s="241">
        <f t="shared" si="365"/>
        <v>37848.159168000006</v>
      </c>
      <c r="R205" s="241">
        <f>((960*1.04)+17500)*1.03*1.03*1.03</f>
        <v>20213.701136800002</v>
      </c>
      <c r="S205" s="244"/>
      <c r="T205" s="244"/>
      <c r="U205" s="244"/>
      <c r="V205" s="244"/>
      <c r="W205" s="244"/>
      <c r="X205" s="241">
        <f t="shared" si="366"/>
        <v>20213.701136800002</v>
      </c>
      <c r="Z205" s="241">
        <f>(((625*1.04)*12)+15000)*1.02*1.02*1.03</f>
        <v>24432.7536</v>
      </c>
      <c r="AA205" s="244"/>
      <c r="AB205" s="244"/>
      <c r="AC205" s="244"/>
      <c r="AD205" s="244"/>
      <c r="AE205" s="244"/>
      <c r="AF205" s="241">
        <f t="shared" si="367"/>
        <v>24432.7536</v>
      </c>
      <c r="AH205" s="241">
        <f>(((1330*1.04)*12)+20000)*1.02*1.03*1.03</f>
        <v>39603.787411199999</v>
      </c>
      <c r="AI205" s="244"/>
      <c r="AJ205" s="244"/>
      <c r="AK205" s="244"/>
      <c r="AL205" s="244"/>
      <c r="AM205" s="244"/>
      <c r="AN205" s="241">
        <f t="shared" si="368"/>
        <v>39603.787411199999</v>
      </c>
      <c r="AP205" s="241">
        <f>25000*1.03*1.03</f>
        <v>26522.5</v>
      </c>
      <c r="AQ205" s="244"/>
      <c r="AR205" s="244"/>
      <c r="AS205" s="244"/>
      <c r="AT205" s="244"/>
      <c r="AU205" s="244"/>
      <c r="AV205" s="241">
        <f t="shared" si="369"/>
        <v>26522.5</v>
      </c>
      <c r="AX205" s="241"/>
      <c r="AY205" s="244"/>
      <c r="AZ205" s="244"/>
      <c r="BA205" s="244"/>
      <c r="BB205" s="244"/>
      <c r="BC205" s="244"/>
      <c r="BD205" s="241">
        <f t="shared" si="370"/>
        <v>0</v>
      </c>
      <c r="BF205" s="241"/>
      <c r="BG205" s="244"/>
      <c r="BH205" s="244"/>
      <c r="BI205" s="244"/>
      <c r="BJ205" s="244"/>
      <c r="BK205" s="244"/>
      <c r="BL205" s="241">
        <f t="shared" si="371"/>
        <v>0</v>
      </c>
      <c r="BN205" s="241">
        <f t="shared" si="372"/>
        <v>177289.686888</v>
      </c>
      <c r="BO205" s="241">
        <f t="shared" si="363"/>
        <v>0</v>
      </c>
      <c r="BP205" s="241">
        <f t="shared" si="363"/>
        <v>0</v>
      </c>
      <c r="BQ205" s="241">
        <f t="shared" si="363"/>
        <v>0</v>
      </c>
      <c r="BR205" s="241">
        <f t="shared" si="363"/>
        <v>0</v>
      </c>
      <c r="BS205" s="241">
        <f t="shared" si="363"/>
        <v>0</v>
      </c>
      <c r="BT205" s="241">
        <f t="shared" si="373"/>
        <v>177289.686888</v>
      </c>
    </row>
    <row r="206" spans="1:73" x14ac:dyDescent="0.25">
      <c r="A206" s="212" t="s">
        <v>303</v>
      </c>
      <c r="B206" s="241">
        <f>((6500*1.05)+25000)*1.03*1.03*1.03</f>
        <v>34776.036775</v>
      </c>
      <c r="C206" s="245"/>
      <c r="D206" s="245"/>
      <c r="E206" s="245"/>
      <c r="F206" s="245"/>
      <c r="G206" s="245"/>
      <c r="H206" s="241">
        <f t="shared" si="364"/>
        <v>34776.036775</v>
      </c>
      <c r="J206" s="241">
        <f>((29835*1.04)+25000)*1.02*1.03*1.03</f>
        <v>60629.340151200005</v>
      </c>
      <c r="K206" s="245"/>
      <c r="L206" s="245"/>
      <c r="M206" s="245"/>
      <c r="N206" s="245"/>
      <c r="O206" s="245"/>
      <c r="P206" s="241">
        <f t="shared" si="365"/>
        <v>60629.340151200005</v>
      </c>
      <c r="R206" s="241">
        <f>((9200*1.04)+15500)*1.03*1.03*1.03</f>
        <v>27392.480436000002</v>
      </c>
      <c r="S206" s="245"/>
      <c r="T206" s="245"/>
      <c r="U206" s="245"/>
      <c r="V206" s="245"/>
      <c r="W206" s="245"/>
      <c r="X206" s="241">
        <f t="shared" si="366"/>
        <v>27392.480436000002</v>
      </c>
      <c r="Z206" s="241">
        <f>((12675*1.04)+15000)*1.02*1.02*1.03</f>
        <v>30200.169384000001</v>
      </c>
      <c r="AA206" s="245"/>
      <c r="AB206" s="245"/>
      <c r="AC206" s="245"/>
      <c r="AD206" s="245"/>
      <c r="AE206" s="245"/>
      <c r="AF206" s="241">
        <f t="shared" si="367"/>
        <v>30200.169384000001</v>
      </c>
      <c r="AH206" s="241">
        <f>((26170*1.04)+25000)*1.02*1.03*1.03</f>
        <v>56504.739182400008</v>
      </c>
      <c r="AI206" s="245"/>
      <c r="AJ206" s="245"/>
      <c r="AK206" s="245"/>
      <c r="AL206" s="245"/>
      <c r="AM206" s="245"/>
      <c r="AN206" s="241">
        <f t="shared" si="368"/>
        <v>56504.739182400008</v>
      </c>
      <c r="AP206" s="241">
        <f>25000*1.03*1.03</f>
        <v>26522.5</v>
      </c>
      <c r="AQ206" s="245"/>
      <c r="AR206" s="245"/>
      <c r="AS206" s="245"/>
      <c r="AT206" s="245"/>
      <c r="AU206" s="245"/>
      <c r="AV206" s="241">
        <f t="shared" si="369"/>
        <v>26522.5</v>
      </c>
      <c r="AX206" s="241"/>
      <c r="AY206" s="245"/>
      <c r="AZ206" s="245"/>
      <c r="BA206" s="245"/>
      <c r="BB206" s="245"/>
      <c r="BC206" s="245"/>
      <c r="BD206" s="241">
        <f t="shared" si="370"/>
        <v>0</v>
      </c>
      <c r="BF206" s="241"/>
      <c r="BG206" s="245"/>
      <c r="BH206" s="245"/>
      <c r="BI206" s="245"/>
      <c r="BJ206" s="245"/>
      <c r="BK206" s="245"/>
      <c r="BL206" s="241">
        <f t="shared" si="371"/>
        <v>0</v>
      </c>
      <c r="BN206" s="241">
        <f t="shared" si="372"/>
        <v>236025.26592859998</v>
      </c>
      <c r="BO206" s="241">
        <f t="shared" si="363"/>
        <v>0</v>
      </c>
      <c r="BP206" s="241">
        <f t="shared" si="363"/>
        <v>0</v>
      </c>
      <c r="BQ206" s="241">
        <f t="shared" si="363"/>
        <v>0</v>
      </c>
      <c r="BR206" s="241">
        <f t="shared" si="363"/>
        <v>0</v>
      </c>
      <c r="BS206" s="241">
        <f t="shared" si="363"/>
        <v>0</v>
      </c>
      <c r="BT206" s="241">
        <f t="shared" si="373"/>
        <v>236025.26592859998</v>
      </c>
    </row>
    <row r="207" spans="1:73" x14ac:dyDescent="0.25">
      <c r="A207" s="213"/>
      <c r="B207" s="258">
        <f>SUM(B197:B206)</f>
        <v>515931.42532200005</v>
      </c>
      <c r="C207" s="258">
        <f t="shared" ref="C207:H207" si="374">SUM(C197:C206)</f>
        <v>0</v>
      </c>
      <c r="D207" s="258">
        <f t="shared" si="374"/>
        <v>0</v>
      </c>
      <c r="E207" s="258">
        <f t="shared" si="374"/>
        <v>0</v>
      </c>
      <c r="F207" s="258">
        <f t="shared" si="374"/>
        <v>0</v>
      </c>
      <c r="G207" s="258">
        <f t="shared" si="374"/>
        <v>0</v>
      </c>
      <c r="H207" s="258">
        <f t="shared" si="374"/>
        <v>515931.42532200005</v>
      </c>
      <c r="J207" s="258">
        <f>SUM(J197:J206)</f>
        <v>1122449.4693192001</v>
      </c>
      <c r="K207" s="258">
        <f t="shared" ref="K207:P207" si="375">SUM(K197:K206)</f>
        <v>0</v>
      </c>
      <c r="L207" s="258">
        <f t="shared" si="375"/>
        <v>0</v>
      </c>
      <c r="M207" s="258">
        <f t="shared" si="375"/>
        <v>0</v>
      </c>
      <c r="N207" s="258">
        <f t="shared" si="375"/>
        <v>0</v>
      </c>
      <c r="O207" s="258">
        <f t="shared" si="375"/>
        <v>0</v>
      </c>
      <c r="P207" s="258">
        <f t="shared" si="375"/>
        <v>1122449.4693192001</v>
      </c>
      <c r="R207" s="258">
        <f>SUM(R197:R206)</f>
        <v>458514.8308228</v>
      </c>
      <c r="S207" s="258">
        <f t="shared" ref="S207:X207" si="376">SUM(S197:S206)</f>
        <v>0</v>
      </c>
      <c r="T207" s="258">
        <f t="shared" si="376"/>
        <v>0</v>
      </c>
      <c r="U207" s="258">
        <f t="shared" si="376"/>
        <v>0</v>
      </c>
      <c r="V207" s="258">
        <f t="shared" si="376"/>
        <v>0</v>
      </c>
      <c r="W207" s="258">
        <f t="shared" si="376"/>
        <v>0</v>
      </c>
      <c r="X207" s="258">
        <f t="shared" si="376"/>
        <v>458514.8308228</v>
      </c>
      <c r="Z207" s="258">
        <f>SUM(Z197:Z206)</f>
        <v>548825.27835899999</v>
      </c>
      <c r="AA207" s="258">
        <f t="shared" ref="AA207:AF207" si="377">SUM(AA197:AA206)</f>
        <v>0</v>
      </c>
      <c r="AB207" s="258">
        <f t="shared" si="377"/>
        <v>0</v>
      </c>
      <c r="AC207" s="258">
        <f t="shared" si="377"/>
        <v>0</v>
      </c>
      <c r="AD207" s="258">
        <f t="shared" si="377"/>
        <v>0</v>
      </c>
      <c r="AE207" s="258">
        <f t="shared" si="377"/>
        <v>0</v>
      </c>
      <c r="AF207" s="258">
        <f t="shared" si="377"/>
        <v>548825.27835899999</v>
      </c>
      <c r="AH207" s="258">
        <f>SUM(AH197:AH206)</f>
        <v>1217778.4745936003</v>
      </c>
      <c r="AI207" s="258">
        <f t="shared" ref="AI207:AN207" si="378">SUM(AI197:AI206)</f>
        <v>0</v>
      </c>
      <c r="AJ207" s="258">
        <f t="shared" si="378"/>
        <v>0</v>
      </c>
      <c r="AK207" s="258">
        <f t="shared" si="378"/>
        <v>0</v>
      </c>
      <c r="AL207" s="258">
        <f t="shared" si="378"/>
        <v>0</v>
      </c>
      <c r="AM207" s="258">
        <f t="shared" si="378"/>
        <v>0</v>
      </c>
      <c r="AN207" s="258">
        <f t="shared" si="378"/>
        <v>1217778.4745936003</v>
      </c>
      <c r="AP207" s="258">
        <f>SUM(AP197:AP206)</f>
        <v>377445.9</v>
      </c>
      <c r="AQ207" s="258">
        <f t="shared" ref="AQ207:AV207" si="379">SUM(AQ197:AQ206)</f>
        <v>0</v>
      </c>
      <c r="AR207" s="258">
        <f t="shared" si="379"/>
        <v>0</v>
      </c>
      <c r="AS207" s="258">
        <f t="shared" si="379"/>
        <v>0</v>
      </c>
      <c r="AT207" s="258">
        <f t="shared" si="379"/>
        <v>0</v>
      </c>
      <c r="AU207" s="258">
        <f t="shared" si="379"/>
        <v>0</v>
      </c>
      <c r="AV207" s="258">
        <f t="shared" si="379"/>
        <v>377445.9</v>
      </c>
      <c r="AX207" s="258">
        <f>SUM(AX197:AX206)</f>
        <v>0</v>
      </c>
      <c r="AY207" s="258">
        <f t="shared" ref="AY207:BD207" si="380">SUM(AY197:AY206)</f>
        <v>0</v>
      </c>
      <c r="AZ207" s="258">
        <f t="shared" si="380"/>
        <v>0</v>
      </c>
      <c r="BA207" s="258">
        <f t="shared" si="380"/>
        <v>0</v>
      </c>
      <c r="BB207" s="258">
        <f t="shared" si="380"/>
        <v>0</v>
      </c>
      <c r="BC207" s="258">
        <f t="shared" si="380"/>
        <v>0</v>
      </c>
      <c r="BD207" s="258">
        <f t="shared" si="380"/>
        <v>0</v>
      </c>
      <c r="BF207" s="258">
        <f>SUM(BF197:BF206)</f>
        <v>0</v>
      </c>
      <c r="BG207" s="258">
        <f t="shared" ref="BG207:BL207" si="381">SUM(BG197:BG206)</f>
        <v>0</v>
      </c>
      <c r="BH207" s="258">
        <f t="shared" si="381"/>
        <v>0</v>
      </c>
      <c r="BI207" s="258">
        <f t="shared" si="381"/>
        <v>0</v>
      </c>
      <c r="BJ207" s="258">
        <f t="shared" si="381"/>
        <v>0</v>
      </c>
      <c r="BK207" s="258">
        <f t="shared" si="381"/>
        <v>0</v>
      </c>
      <c r="BL207" s="258">
        <f t="shared" si="381"/>
        <v>0</v>
      </c>
      <c r="BN207" s="258">
        <f>SUM(BN197:BN206)</f>
        <v>4240945.3784165997</v>
      </c>
      <c r="BO207" s="258">
        <f t="shared" ref="BO207:BT207" si="382">SUM(BO197:BO206)</f>
        <v>0</v>
      </c>
      <c r="BP207" s="258">
        <f t="shared" si="382"/>
        <v>0</v>
      </c>
      <c r="BQ207" s="258">
        <f t="shared" si="382"/>
        <v>0</v>
      </c>
      <c r="BR207" s="258">
        <f t="shared" si="382"/>
        <v>0</v>
      </c>
      <c r="BS207" s="258">
        <f t="shared" si="382"/>
        <v>0</v>
      </c>
      <c r="BT207" s="258">
        <f t="shared" si="382"/>
        <v>4240945.3784165997</v>
      </c>
    </row>
    <row r="208" spans="1:73" ht="16.5" thickBot="1" x14ac:dyDescent="0.3">
      <c r="B208" s="259"/>
      <c r="C208" s="259"/>
      <c r="D208" s="259"/>
      <c r="E208" s="259"/>
      <c r="F208" s="259"/>
      <c r="G208" s="259"/>
      <c r="H208" s="259"/>
      <c r="J208" s="259"/>
      <c r="K208" s="259"/>
      <c r="L208" s="259"/>
      <c r="M208" s="259"/>
      <c r="N208" s="259"/>
      <c r="O208" s="259"/>
      <c r="P208" s="259"/>
      <c r="R208" s="259"/>
      <c r="S208" s="259"/>
      <c r="T208" s="259"/>
      <c r="U208" s="259"/>
      <c r="V208" s="259"/>
      <c r="W208" s="259"/>
      <c r="X208" s="259"/>
      <c r="Z208" s="259"/>
      <c r="AA208" s="259"/>
      <c r="AB208" s="259"/>
      <c r="AC208" s="259"/>
      <c r="AD208" s="259"/>
      <c r="AE208" s="259"/>
      <c r="AF208" s="259"/>
      <c r="AH208" s="259"/>
      <c r="AI208" s="259"/>
      <c r="AJ208" s="259"/>
      <c r="AK208" s="259"/>
      <c r="AL208" s="259"/>
      <c r="AM208" s="259"/>
      <c r="AN208" s="259"/>
      <c r="AP208" s="259"/>
      <c r="AQ208" s="259"/>
      <c r="AR208" s="259"/>
      <c r="AS208" s="259"/>
      <c r="AT208" s="259"/>
      <c r="AU208" s="259"/>
      <c r="AV208" s="259"/>
      <c r="AX208" s="259"/>
      <c r="AY208" s="259"/>
      <c r="AZ208" s="259"/>
      <c r="BA208" s="259"/>
      <c r="BB208" s="259"/>
      <c r="BC208" s="259"/>
      <c r="BD208" s="259"/>
      <c r="BF208" s="259"/>
      <c r="BG208" s="259"/>
      <c r="BH208" s="259"/>
      <c r="BI208" s="259"/>
      <c r="BJ208" s="259"/>
      <c r="BK208" s="259"/>
      <c r="BL208" s="259"/>
      <c r="BN208" s="259"/>
      <c r="BO208" s="259"/>
      <c r="BP208" s="259"/>
      <c r="BQ208" s="259"/>
      <c r="BR208" s="259"/>
      <c r="BS208" s="259"/>
      <c r="BT208" s="259"/>
    </row>
    <row r="209" spans="1:72" ht="16.5" thickBot="1" x14ac:dyDescent="0.3">
      <c r="A209" s="284" t="s">
        <v>338</v>
      </c>
      <c r="B209" s="264">
        <f t="shared" ref="B209:H209" si="383">B207+B194+B171+B159+B149+B141+B132+B125+B116+B109</f>
        <v>7912259.0133752059</v>
      </c>
      <c r="C209" s="264">
        <f t="shared" si="383"/>
        <v>1456487.1885218751</v>
      </c>
      <c r="D209" s="264">
        <f t="shared" si="383"/>
        <v>322573.99</v>
      </c>
      <c r="E209" s="264">
        <f t="shared" si="383"/>
        <v>0</v>
      </c>
      <c r="F209" s="264">
        <f t="shared" si="383"/>
        <v>103965.875</v>
      </c>
      <c r="G209" s="264">
        <f t="shared" si="383"/>
        <v>300000</v>
      </c>
      <c r="H209" s="264">
        <f t="shared" si="383"/>
        <v>10095286.066897081</v>
      </c>
      <c r="J209" s="264">
        <f t="shared" ref="J209:P209" si="384">J207+J194+J171+J159+J149+J141+J132+J125+J116+J109</f>
        <v>22334884.72975469</v>
      </c>
      <c r="K209" s="264">
        <f t="shared" si="384"/>
        <v>2913070.7498205998</v>
      </c>
      <c r="L209" s="264">
        <f t="shared" si="384"/>
        <v>713308.06499999994</v>
      </c>
      <c r="M209" s="264">
        <f t="shared" si="384"/>
        <v>0</v>
      </c>
      <c r="N209" s="264">
        <f t="shared" si="384"/>
        <v>49770</v>
      </c>
      <c r="O209" s="264">
        <f t="shared" si="384"/>
        <v>1500000</v>
      </c>
      <c r="P209" s="264">
        <f t="shared" si="384"/>
        <v>27511033.544575289</v>
      </c>
      <c r="R209" s="264">
        <f t="shared" ref="R209:X209" si="385">R207+R194+R171+R159+R149+R141+R132+R125+R116+R109</f>
        <v>8936593.9051528629</v>
      </c>
      <c r="S209" s="264">
        <f t="shared" si="385"/>
        <v>1044365.0549906825</v>
      </c>
      <c r="T209" s="264">
        <f t="shared" si="385"/>
        <v>222039.15</v>
      </c>
      <c r="U209" s="264">
        <f t="shared" si="385"/>
        <v>0</v>
      </c>
      <c r="V209" s="264">
        <f t="shared" si="385"/>
        <v>0</v>
      </c>
      <c r="W209" s="264">
        <f t="shared" si="385"/>
        <v>850000</v>
      </c>
      <c r="X209" s="264">
        <f t="shared" si="385"/>
        <v>11052998.110143544</v>
      </c>
      <c r="Z209" s="264">
        <f t="shared" ref="Z209:AF209" si="386">Z207+Z194+Z171+Z159+Z149+Z141+Z132+Z125+Z116+Z109</f>
        <v>10530614.274433324</v>
      </c>
      <c r="AA209" s="264">
        <f t="shared" si="386"/>
        <v>1212018.5505542648</v>
      </c>
      <c r="AB209" s="264">
        <f t="shared" si="386"/>
        <v>179105.15</v>
      </c>
      <c r="AC209" s="264">
        <f t="shared" si="386"/>
        <v>0</v>
      </c>
      <c r="AD209" s="264">
        <f t="shared" si="386"/>
        <v>0</v>
      </c>
      <c r="AE209" s="264">
        <f t="shared" si="386"/>
        <v>900000</v>
      </c>
      <c r="AF209" s="264">
        <f t="shared" si="386"/>
        <v>12821737.974987589</v>
      </c>
      <c r="AH209" s="264">
        <f t="shared" ref="AH209:AN209" si="387">AH207+AH194+AH171+AH159+AH149+AH141+AH132+AH125+AH116+AH109</f>
        <v>20881530.096890088</v>
      </c>
      <c r="AI209" s="264">
        <f t="shared" si="387"/>
        <v>2695902.75545925</v>
      </c>
      <c r="AJ209" s="264">
        <f t="shared" si="387"/>
        <v>350570.05</v>
      </c>
      <c r="AK209" s="264">
        <f t="shared" si="387"/>
        <v>0</v>
      </c>
      <c r="AL209" s="264">
        <f t="shared" si="387"/>
        <v>0</v>
      </c>
      <c r="AM209" s="264">
        <f t="shared" si="387"/>
        <v>2500000</v>
      </c>
      <c r="AN209" s="264">
        <f t="shared" si="387"/>
        <v>26428002.902349342</v>
      </c>
      <c r="AP209" s="264">
        <f t="shared" ref="AP209:AV209" si="388">AP207+AP194+AP171+AP159+AP149+AP141+AP132+AP125+AP116+AP109</f>
        <v>7065803.9044859502</v>
      </c>
      <c r="AQ209" s="264">
        <f t="shared" si="388"/>
        <v>1152115.2758124999</v>
      </c>
      <c r="AR209" s="264">
        <f t="shared" si="388"/>
        <v>543616.42125000001</v>
      </c>
      <c r="AS209" s="264">
        <f t="shared" si="388"/>
        <v>0</v>
      </c>
      <c r="AT209" s="264">
        <f t="shared" si="388"/>
        <v>241584.17152500001</v>
      </c>
      <c r="AU209" s="264">
        <f t="shared" si="388"/>
        <v>100000</v>
      </c>
      <c r="AV209" s="264">
        <f t="shared" si="388"/>
        <v>9103119.7730734516</v>
      </c>
      <c r="AX209" s="264">
        <f t="shared" ref="AX209:BD209" si="389">AX207+AX194+AX171+AX159+AX149+AX141+AX132+AX125+AX116+AX109</f>
        <v>1559946.9807859398</v>
      </c>
      <c r="AY209" s="264">
        <f t="shared" si="389"/>
        <v>267391.8569825</v>
      </c>
      <c r="AZ209" s="264">
        <f t="shared" si="389"/>
        <v>0</v>
      </c>
      <c r="BA209" s="264">
        <f t="shared" si="389"/>
        <v>0</v>
      </c>
      <c r="BB209" s="264">
        <f t="shared" si="389"/>
        <v>40554.945861547501</v>
      </c>
      <c r="BC209" s="264">
        <f t="shared" si="389"/>
        <v>25000</v>
      </c>
      <c r="BD209" s="264">
        <f t="shared" si="389"/>
        <v>1892893.7836299874</v>
      </c>
      <c r="BF209" s="264">
        <f t="shared" ref="BF209:BL209" si="390">BF207+BF194+BF171+BF159+BF149+BF141+BF132+BF125+BF116+BF109</f>
        <v>572528.88162262505</v>
      </c>
      <c r="BG209" s="264">
        <f t="shared" si="390"/>
        <v>0</v>
      </c>
      <c r="BH209" s="264">
        <f t="shared" si="390"/>
        <v>39664.15625</v>
      </c>
      <c r="BI209" s="264">
        <f t="shared" si="390"/>
        <v>0</v>
      </c>
      <c r="BJ209" s="264">
        <f t="shared" si="390"/>
        <v>784068.58101874997</v>
      </c>
      <c r="BK209" s="264">
        <f t="shared" si="390"/>
        <v>0</v>
      </c>
      <c r="BL209" s="264">
        <f t="shared" si="390"/>
        <v>1396261.6188913749</v>
      </c>
      <c r="BN209" s="264">
        <f t="shared" ref="BN209:BT209" si="391">BN207+BN194+BN171+BN159+BN149+BN141+BN132+BN125+BN116+BN109</f>
        <v>79794161.786500692</v>
      </c>
      <c r="BO209" s="264">
        <f t="shared" si="391"/>
        <v>10741351.432141671</v>
      </c>
      <c r="BP209" s="264">
        <f t="shared" si="391"/>
        <v>2370876.9824999999</v>
      </c>
      <c r="BQ209" s="264">
        <f t="shared" si="391"/>
        <v>0</v>
      </c>
      <c r="BR209" s="264">
        <f t="shared" si="391"/>
        <v>1219943.5734052975</v>
      </c>
      <c r="BS209" s="264">
        <f t="shared" si="391"/>
        <v>6175000</v>
      </c>
      <c r="BT209" s="264">
        <f t="shared" si="391"/>
        <v>100301333.77454767</v>
      </c>
    </row>
    <row r="210" spans="1:72" ht="16.5" thickBot="1" x14ac:dyDescent="0.3">
      <c r="B210" s="259"/>
      <c r="C210" s="259"/>
      <c r="D210" s="259"/>
      <c r="E210" s="259"/>
      <c r="F210" s="259"/>
      <c r="G210" s="259"/>
      <c r="H210" s="259"/>
    </row>
    <row r="211" spans="1:72" ht="16.5" thickBot="1" x14ac:dyDescent="0.3">
      <c r="A211" s="284" t="s">
        <v>339</v>
      </c>
      <c r="B211" s="265"/>
      <c r="C211" s="265"/>
      <c r="D211" s="265"/>
      <c r="E211" s="265"/>
      <c r="F211" s="265"/>
      <c r="G211" s="265"/>
      <c r="H211" s="265"/>
      <c r="J211" s="265"/>
      <c r="K211" s="265"/>
      <c r="L211" s="265"/>
      <c r="M211" s="265"/>
      <c r="N211" s="265"/>
      <c r="O211" s="265"/>
      <c r="P211" s="265"/>
      <c r="R211" s="265"/>
      <c r="S211" s="265"/>
      <c r="T211" s="265"/>
      <c r="U211" s="265"/>
      <c r="V211" s="265"/>
      <c r="W211" s="265"/>
      <c r="X211" s="265"/>
      <c r="Z211" s="265"/>
      <c r="AA211" s="265"/>
      <c r="AB211" s="265"/>
      <c r="AC211" s="265"/>
      <c r="AD211" s="265"/>
      <c r="AE211" s="265"/>
      <c r="AF211" s="265"/>
      <c r="AH211" s="265"/>
      <c r="AI211" s="265"/>
      <c r="AJ211" s="265"/>
      <c r="AK211" s="265"/>
      <c r="AL211" s="265"/>
      <c r="AM211" s="265"/>
      <c r="AN211" s="265"/>
      <c r="AP211" s="265"/>
      <c r="AQ211" s="265"/>
      <c r="AR211" s="265"/>
      <c r="AS211" s="265"/>
      <c r="AT211" s="265"/>
      <c r="AU211" s="265"/>
      <c r="AV211" s="265"/>
      <c r="AX211" s="265"/>
      <c r="AY211" s="265"/>
      <c r="AZ211" s="265"/>
      <c r="BA211" s="265"/>
      <c r="BB211" s="265"/>
      <c r="BC211" s="265"/>
      <c r="BD211" s="265"/>
      <c r="BF211" s="265"/>
      <c r="BG211" s="265"/>
      <c r="BH211" s="265"/>
      <c r="BI211" s="265"/>
      <c r="BJ211" s="265"/>
      <c r="BK211" s="265"/>
      <c r="BL211" s="265"/>
      <c r="BN211" s="265"/>
      <c r="BO211" s="265"/>
      <c r="BP211" s="265"/>
      <c r="BQ211" s="265"/>
      <c r="BR211" s="265"/>
      <c r="BS211" s="265"/>
      <c r="BT211" s="265"/>
    </row>
    <row r="212" spans="1:72" x14ac:dyDescent="0.25">
      <c r="A212" s="215" t="s">
        <v>304</v>
      </c>
      <c r="B212" s="266">
        <v>0</v>
      </c>
      <c r="C212" s="266"/>
      <c r="D212" s="266"/>
      <c r="E212" s="266"/>
      <c r="F212" s="266"/>
      <c r="G212" s="266"/>
      <c r="H212" s="241">
        <f>SUM(B212:G212)</f>
        <v>0</v>
      </c>
      <c r="J212" s="266">
        <v>2496625</v>
      </c>
      <c r="K212" s="266"/>
      <c r="L212" s="266"/>
      <c r="M212" s="266"/>
      <c r="N212" s="266"/>
      <c r="O212" s="266"/>
      <c r="P212" s="241">
        <f>SUM(J212:O212)</f>
        <v>2496625</v>
      </c>
      <c r="R212" s="266">
        <v>0</v>
      </c>
      <c r="S212" s="266"/>
      <c r="T212" s="266"/>
      <c r="U212" s="266"/>
      <c r="V212" s="266"/>
      <c r="W212" s="266"/>
      <c r="X212" s="241">
        <f>SUM(R212:W212)</f>
        <v>0</v>
      </c>
      <c r="Z212" s="266">
        <v>0</v>
      </c>
      <c r="AA212" s="266"/>
      <c r="AB212" s="266"/>
      <c r="AC212" s="266"/>
      <c r="AD212" s="266"/>
      <c r="AE212" s="266"/>
      <c r="AF212" s="241">
        <f>SUM(Z212:AE212)</f>
        <v>0</v>
      </c>
      <c r="AH212" s="266">
        <v>3582925</v>
      </c>
      <c r="AI212" s="266"/>
      <c r="AJ212" s="266"/>
      <c r="AK212" s="266"/>
      <c r="AL212" s="266"/>
      <c r="AM212" s="266"/>
      <c r="AN212" s="241">
        <f>SUM(AH212:AM212)</f>
        <v>3582925</v>
      </c>
      <c r="AP212" s="266"/>
      <c r="AQ212" s="266"/>
      <c r="AR212" s="266"/>
      <c r="AS212" s="266"/>
      <c r="AT212" s="266"/>
      <c r="AU212" s="266"/>
      <c r="AV212" s="241">
        <f>SUM(AP212:AU212)</f>
        <v>0</v>
      </c>
      <c r="AX212" s="266">
        <v>0</v>
      </c>
      <c r="AY212" s="266"/>
      <c r="AZ212" s="266"/>
      <c r="BA212" s="266"/>
      <c r="BB212" s="266"/>
      <c r="BC212" s="266"/>
      <c r="BD212" s="241">
        <f>SUM(AX212:BC212)</f>
        <v>0</v>
      </c>
      <c r="BF212" s="266"/>
      <c r="BG212" s="266"/>
      <c r="BH212" s="266"/>
      <c r="BI212" s="266"/>
      <c r="BJ212" s="266"/>
      <c r="BK212" s="266"/>
      <c r="BL212" s="241">
        <f>SUM(BF212:BK212)</f>
        <v>0</v>
      </c>
      <c r="BN212" s="241">
        <f>B212+J212+R212+Z212+AH212+AP212+AX212+BF212</f>
        <v>6079550</v>
      </c>
      <c r="BO212" s="241">
        <f t="shared" ref="BO212:BS215" si="392">C212+K212+S212+AA212+AI212+AQ212+AY212+BG212</f>
        <v>0</v>
      </c>
      <c r="BP212" s="241">
        <f t="shared" si="392"/>
        <v>0</v>
      </c>
      <c r="BQ212" s="241">
        <f t="shared" si="392"/>
        <v>0</v>
      </c>
      <c r="BR212" s="241">
        <f t="shared" si="392"/>
        <v>0</v>
      </c>
      <c r="BS212" s="241">
        <f t="shared" si="392"/>
        <v>0</v>
      </c>
      <c r="BT212" s="241">
        <f>SUM(BN212:BS212)</f>
        <v>6079550</v>
      </c>
    </row>
    <row r="213" spans="1:72" x14ac:dyDescent="0.25">
      <c r="A213" s="216" t="s">
        <v>386</v>
      </c>
      <c r="B213" s="267">
        <v>892331</v>
      </c>
      <c r="C213" s="267"/>
      <c r="D213" s="267"/>
      <c r="E213" s="267"/>
      <c r="F213" s="267"/>
      <c r="G213" s="267"/>
      <c r="H213" s="241">
        <f t="shared" ref="H213:H215" si="393">SUM(B213:G213)</f>
        <v>892331</v>
      </c>
      <c r="J213" s="267">
        <v>0</v>
      </c>
      <c r="K213" s="267"/>
      <c r="L213" s="267"/>
      <c r="M213" s="267"/>
      <c r="N213" s="267"/>
      <c r="O213" s="267"/>
      <c r="P213" s="241">
        <f t="shared" ref="P213:P215" si="394">SUM(J213:O213)</f>
        <v>0</v>
      </c>
      <c r="R213" s="267">
        <v>1010001</v>
      </c>
      <c r="S213" s="267"/>
      <c r="T213" s="267"/>
      <c r="U213" s="267"/>
      <c r="V213" s="267"/>
      <c r="W213" s="267"/>
      <c r="X213" s="241">
        <f t="shared" ref="X213:X215" si="395">SUM(R213:W213)</f>
        <v>1010001</v>
      </c>
      <c r="Z213" s="267">
        <v>1161010</v>
      </c>
      <c r="AA213" s="267"/>
      <c r="AB213" s="267"/>
      <c r="AC213" s="267"/>
      <c r="AD213" s="267"/>
      <c r="AE213" s="267"/>
      <c r="AF213" s="241">
        <f t="shared" ref="AF213:AF215" si="396">SUM(Z213:AE213)</f>
        <v>1161010</v>
      </c>
      <c r="AH213" s="267"/>
      <c r="AI213" s="267"/>
      <c r="AJ213" s="267"/>
      <c r="AK213" s="267"/>
      <c r="AL213" s="267"/>
      <c r="AM213" s="267"/>
      <c r="AN213" s="241">
        <f t="shared" ref="AN213:AN215" si="397">SUM(AH213:AM213)</f>
        <v>0</v>
      </c>
      <c r="AP213" s="267"/>
      <c r="AQ213" s="267"/>
      <c r="AR213" s="267"/>
      <c r="AS213" s="267"/>
      <c r="AT213" s="267"/>
      <c r="AU213" s="267"/>
      <c r="AV213" s="241">
        <f t="shared" ref="AV213:AV215" si="398">SUM(AP213:AU213)</f>
        <v>0</v>
      </c>
      <c r="AX213" s="267"/>
      <c r="AY213" s="267"/>
      <c r="AZ213" s="267"/>
      <c r="BA213" s="267"/>
      <c r="BB213" s="267"/>
      <c r="BC213" s="267"/>
      <c r="BD213" s="241">
        <f t="shared" ref="BD213:BD215" si="399">SUM(AX213:BC213)</f>
        <v>0</v>
      </c>
      <c r="BF213" s="267"/>
      <c r="BG213" s="267"/>
      <c r="BH213" s="267"/>
      <c r="BI213" s="267"/>
      <c r="BJ213" s="267"/>
      <c r="BK213" s="267"/>
      <c r="BL213" s="241">
        <f t="shared" ref="BL213:BL215" si="400">SUM(BF213:BK213)</f>
        <v>0</v>
      </c>
      <c r="BN213" s="241">
        <f t="shared" ref="BN213:BN215" si="401">B213+J213+R213+Z213+AH213+AP213+AX213+BF213</f>
        <v>3063342</v>
      </c>
      <c r="BO213" s="241">
        <f t="shared" si="392"/>
        <v>0</v>
      </c>
      <c r="BP213" s="241">
        <f t="shared" si="392"/>
        <v>0</v>
      </c>
      <c r="BQ213" s="241">
        <f t="shared" si="392"/>
        <v>0</v>
      </c>
      <c r="BR213" s="241">
        <f t="shared" si="392"/>
        <v>0</v>
      </c>
      <c r="BS213" s="241">
        <f t="shared" si="392"/>
        <v>0</v>
      </c>
      <c r="BT213" s="241">
        <f t="shared" ref="BT213:BT215" si="402">SUM(BN213:BS213)</f>
        <v>3063342</v>
      </c>
    </row>
    <row r="214" spans="1:72" x14ac:dyDescent="0.25">
      <c r="A214" s="216" t="s">
        <v>386</v>
      </c>
      <c r="B214" s="267"/>
      <c r="C214" s="267"/>
      <c r="D214" s="267"/>
      <c r="E214" s="267"/>
      <c r="F214" s="267"/>
      <c r="G214" s="267"/>
      <c r="H214" s="241">
        <f t="shared" si="393"/>
        <v>0</v>
      </c>
      <c r="J214" s="267">
        <v>0</v>
      </c>
      <c r="K214" s="267"/>
      <c r="L214" s="267"/>
      <c r="M214" s="267"/>
      <c r="N214" s="267"/>
      <c r="O214" s="267"/>
      <c r="P214" s="241">
        <f t="shared" si="394"/>
        <v>0</v>
      </c>
      <c r="R214" s="267"/>
      <c r="S214" s="267"/>
      <c r="T214" s="267"/>
      <c r="U214" s="267"/>
      <c r="V214" s="267"/>
      <c r="W214" s="267"/>
      <c r="X214" s="241">
        <f t="shared" si="395"/>
        <v>0</v>
      </c>
      <c r="Z214" s="267"/>
      <c r="AA214" s="267"/>
      <c r="AB214" s="267"/>
      <c r="AC214" s="267"/>
      <c r="AD214" s="267"/>
      <c r="AE214" s="267"/>
      <c r="AF214" s="241">
        <f t="shared" si="396"/>
        <v>0</v>
      </c>
      <c r="AH214" s="267"/>
      <c r="AI214" s="267"/>
      <c r="AJ214" s="267"/>
      <c r="AK214" s="267"/>
      <c r="AL214" s="267"/>
      <c r="AM214" s="267"/>
      <c r="AN214" s="241">
        <f t="shared" si="397"/>
        <v>0</v>
      </c>
      <c r="AP214" s="267">
        <v>1825000</v>
      </c>
      <c r="AQ214" s="267"/>
      <c r="AR214" s="267"/>
      <c r="AS214" s="267"/>
      <c r="AT214" s="267"/>
      <c r="AU214" s="267"/>
      <c r="AV214" s="241">
        <f t="shared" si="398"/>
        <v>1825000</v>
      </c>
      <c r="AX214" s="267"/>
      <c r="AY214" s="267"/>
      <c r="AZ214" s="267"/>
      <c r="BA214" s="267"/>
      <c r="BB214" s="267"/>
      <c r="BC214" s="267"/>
      <c r="BD214" s="241">
        <f t="shared" si="399"/>
        <v>0</v>
      </c>
      <c r="BF214" s="267"/>
      <c r="BG214" s="267"/>
      <c r="BH214" s="267"/>
      <c r="BI214" s="267"/>
      <c r="BJ214" s="267"/>
      <c r="BK214" s="267"/>
      <c r="BL214" s="241">
        <f t="shared" si="400"/>
        <v>0</v>
      </c>
      <c r="BN214" s="241">
        <f t="shared" si="401"/>
        <v>1825000</v>
      </c>
      <c r="BO214" s="241">
        <f t="shared" si="392"/>
        <v>0</v>
      </c>
      <c r="BP214" s="241">
        <f t="shared" si="392"/>
        <v>0</v>
      </c>
      <c r="BQ214" s="241">
        <f t="shared" si="392"/>
        <v>0</v>
      </c>
      <c r="BR214" s="241">
        <f t="shared" si="392"/>
        <v>0</v>
      </c>
      <c r="BS214" s="241">
        <f t="shared" si="392"/>
        <v>0</v>
      </c>
      <c r="BT214" s="241">
        <f t="shared" si="402"/>
        <v>1825000</v>
      </c>
    </row>
    <row r="215" spans="1:72" x14ac:dyDescent="0.25">
      <c r="A215" s="217" t="s">
        <v>307</v>
      </c>
      <c r="B215" s="268"/>
      <c r="C215" s="268"/>
      <c r="D215" s="268"/>
      <c r="E215" s="268"/>
      <c r="F215" s="268"/>
      <c r="G215" s="268"/>
      <c r="H215" s="241">
        <f t="shared" si="393"/>
        <v>0</v>
      </c>
      <c r="J215" s="268">
        <v>0</v>
      </c>
      <c r="K215" s="268"/>
      <c r="L215" s="268"/>
      <c r="M215" s="268"/>
      <c r="N215" s="268"/>
      <c r="O215" s="268"/>
      <c r="P215" s="241">
        <f t="shared" si="394"/>
        <v>0</v>
      </c>
      <c r="R215" s="268">
        <v>0</v>
      </c>
      <c r="S215" s="268"/>
      <c r="T215" s="268"/>
      <c r="U215" s="268"/>
      <c r="V215" s="268"/>
      <c r="W215" s="268"/>
      <c r="X215" s="241">
        <f t="shared" si="395"/>
        <v>0</v>
      </c>
      <c r="Z215" s="268">
        <v>0</v>
      </c>
      <c r="AA215" s="268"/>
      <c r="AB215" s="268"/>
      <c r="AC215" s="268"/>
      <c r="AD215" s="268"/>
      <c r="AE215" s="268"/>
      <c r="AF215" s="241">
        <f t="shared" si="396"/>
        <v>0</v>
      </c>
      <c r="AH215" s="268"/>
      <c r="AI215" s="268"/>
      <c r="AJ215" s="268"/>
      <c r="AK215" s="268"/>
      <c r="AL215" s="268"/>
      <c r="AM215" s="268"/>
      <c r="AN215" s="241">
        <f t="shared" si="397"/>
        <v>0</v>
      </c>
      <c r="AP215" s="268"/>
      <c r="AQ215" s="268"/>
      <c r="AR215" s="268"/>
      <c r="AS215" s="268"/>
      <c r="AT215" s="268"/>
      <c r="AU215" s="268"/>
      <c r="AV215" s="241">
        <f t="shared" si="398"/>
        <v>0</v>
      </c>
      <c r="AX215" s="268"/>
      <c r="AY215" s="268"/>
      <c r="AZ215" s="268"/>
      <c r="BA215" s="268"/>
      <c r="BB215" s="268"/>
      <c r="BC215" s="268"/>
      <c r="BD215" s="241">
        <f t="shared" si="399"/>
        <v>0</v>
      </c>
      <c r="BF215" s="268"/>
      <c r="BG215" s="268"/>
      <c r="BH215" s="268"/>
      <c r="BI215" s="268"/>
      <c r="BJ215" s="268"/>
      <c r="BK215" s="268"/>
      <c r="BL215" s="241">
        <f t="shared" si="400"/>
        <v>0</v>
      </c>
      <c r="BN215" s="241">
        <f t="shared" si="401"/>
        <v>0</v>
      </c>
      <c r="BO215" s="241">
        <f t="shared" si="392"/>
        <v>0</v>
      </c>
      <c r="BP215" s="241">
        <f t="shared" si="392"/>
        <v>0</v>
      </c>
      <c r="BQ215" s="241">
        <f t="shared" si="392"/>
        <v>0</v>
      </c>
      <c r="BR215" s="241">
        <f t="shared" si="392"/>
        <v>0</v>
      </c>
      <c r="BS215" s="241">
        <f t="shared" si="392"/>
        <v>0</v>
      </c>
      <c r="BT215" s="241">
        <f t="shared" si="402"/>
        <v>0</v>
      </c>
    </row>
    <row r="216" spans="1:72" x14ac:dyDescent="0.25">
      <c r="A216" s="207"/>
      <c r="B216" s="258">
        <f>SUM(B212:B215)</f>
        <v>892331</v>
      </c>
      <c r="C216" s="258">
        <f t="shared" ref="C216:H216" si="403">SUM(C212:C215)</f>
        <v>0</v>
      </c>
      <c r="D216" s="258">
        <f t="shared" si="403"/>
        <v>0</v>
      </c>
      <c r="E216" s="258">
        <f t="shared" si="403"/>
        <v>0</v>
      </c>
      <c r="F216" s="258">
        <f t="shared" si="403"/>
        <v>0</v>
      </c>
      <c r="G216" s="258">
        <f t="shared" si="403"/>
        <v>0</v>
      </c>
      <c r="H216" s="258">
        <f t="shared" si="403"/>
        <v>892331</v>
      </c>
      <c r="J216" s="258">
        <f>SUM(J212:J215)</f>
        <v>2496625</v>
      </c>
      <c r="K216" s="258">
        <f t="shared" ref="K216:P216" si="404">SUM(K212:K215)</f>
        <v>0</v>
      </c>
      <c r="L216" s="258">
        <f t="shared" si="404"/>
        <v>0</v>
      </c>
      <c r="M216" s="258">
        <f t="shared" si="404"/>
        <v>0</v>
      </c>
      <c r="N216" s="258">
        <f t="shared" si="404"/>
        <v>0</v>
      </c>
      <c r="O216" s="258">
        <f t="shared" si="404"/>
        <v>0</v>
      </c>
      <c r="P216" s="258">
        <f t="shared" si="404"/>
        <v>2496625</v>
      </c>
      <c r="R216" s="258">
        <f>SUM(R212:R215)</f>
        <v>1010001</v>
      </c>
      <c r="S216" s="258">
        <f t="shared" ref="S216:X216" si="405">SUM(S212:S215)</f>
        <v>0</v>
      </c>
      <c r="T216" s="258">
        <f t="shared" si="405"/>
        <v>0</v>
      </c>
      <c r="U216" s="258">
        <f t="shared" si="405"/>
        <v>0</v>
      </c>
      <c r="V216" s="258">
        <f t="shared" si="405"/>
        <v>0</v>
      </c>
      <c r="W216" s="258">
        <f t="shared" si="405"/>
        <v>0</v>
      </c>
      <c r="X216" s="258">
        <f t="shared" si="405"/>
        <v>1010001</v>
      </c>
      <c r="Z216" s="258">
        <f>SUM(Z212:Z215)</f>
        <v>1161010</v>
      </c>
      <c r="AA216" s="258">
        <f t="shared" ref="AA216:AF216" si="406">SUM(AA212:AA215)</f>
        <v>0</v>
      </c>
      <c r="AB216" s="258">
        <f t="shared" si="406"/>
        <v>0</v>
      </c>
      <c r="AC216" s="258">
        <f t="shared" si="406"/>
        <v>0</v>
      </c>
      <c r="AD216" s="258">
        <f t="shared" si="406"/>
        <v>0</v>
      </c>
      <c r="AE216" s="258">
        <f t="shared" si="406"/>
        <v>0</v>
      </c>
      <c r="AF216" s="258">
        <f t="shared" si="406"/>
        <v>1161010</v>
      </c>
      <c r="AH216" s="258">
        <f>SUM(AH212:AH215)</f>
        <v>3582925</v>
      </c>
      <c r="AI216" s="258">
        <f t="shared" ref="AI216:AN216" si="407">SUM(AI212:AI215)</f>
        <v>0</v>
      </c>
      <c r="AJ216" s="258">
        <f t="shared" si="407"/>
        <v>0</v>
      </c>
      <c r="AK216" s="258">
        <f t="shared" si="407"/>
        <v>0</v>
      </c>
      <c r="AL216" s="258">
        <f t="shared" si="407"/>
        <v>0</v>
      </c>
      <c r="AM216" s="258">
        <f t="shared" si="407"/>
        <v>0</v>
      </c>
      <c r="AN216" s="258">
        <f t="shared" si="407"/>
        <v>3582925</v>
      </c>
      <c r="AP216" s="258">
        <f>SUM(AP212:AP215)</f>
        <v>1825000</v>
      </c>
      <c r="AQ216" s="258">
        <f t="shared" ref="AQ216:AV216" si="408">SUM(AQ212:AQ215)</f>
        <v>0</v>
      </c>
      <c r="AR216" s="258">
        <f t="shared" si="408"/>
        <v>0</v>
      </c>
      <c r="AS216" s="258">
        <f t="shared" si="408"/>
        <v>0</v>
      </c>
      <c r="AT216" s="258">
        <f t="shared" si="408"/>
        <v>0</v>
      </c>
      <c r="AU216" s="258">
        <f t="shared" si="408"/>
        <v>0</v>
      </c>
      <c r="AV216" s="258">
        <f t="shared" si="408"/>
        <v>1825000</v>
      </c>
      <c r="AX216" s="258">
        <f>SUM(AX212:AX215)</f>
        <v>0</v>
      </c>
      <c r="AY216" s="258">
        <f t="shared" ref="AY216:BD216" si="409">SUM(AY212:AY215)</f>
        <v>0</v>
      </c>
      <c r="AZ216" s="258">
        <f t="shared" si="409"/>
        <v>0</v>
      </c>
      <c r="BA216" s="258">
        <f t="shared" si="409"/>
        <v>0</v>
      </c>
      <c r="BB216" s="258">
        <f t="shared" si="409"/>
        <v>0</v>
      </c>
      <c r="BC216" s="258">
        <f t="shared" si="409"/>
        <v>0</v>
      </c>
      <c r="BD216" s="258">
        <f t="shared" si="409"/>
        <v>0</v>
      </c>
      <c r="BF216" s="258">
        <f>SUM(BF212:BF215)</f>
        <v>0</v>
      </c>
      <c r="BG216" s="258">
        <f t="shared" ref="BG216:BL216" si="410">SUM(BG212:BG215)</f>
        <v>0</v>
      </c>
      <c r="BH216" s="258">
        <f t="shared" si="410"/>
        <v>0</v>
      </c>
      <c r="BI216" s="258">
        <f t="shared" si="410"/>
        <v>0</v>
      </c>
      <c r="BJ216" s="258">
        <f t="shared" si="410"/>
        <v>0</v>
      </c>
      <c r="BK216" s="258">
        <f t="shared" si="410"/>
        <v>0</v>
      </c>
      <c r="BL216" s="258">
        <f t="shared" si="410"/>
        <v>0</v>
      </c>
      <c r="BN216" s="258">
        <f>SUM(BN212:BN215)</f>
        <v>10967892</v>
      </c>
      <c r="BO216" s="258">
        <f t="shared" ref="BO216:BT216" si="411">SUM(BO212:BO215)</f>
        <v>0</v>
      </c>
      <c r="BP216" s="258">
        <f t="shared" si="411"/>
        <v>0</v>
      </c>
      <c r="BQ216" s="258">
        <f t="shared" si="411"/>
        <v>0</v>
      </c>
      <c r="BR216" s="258">
        <f t="shared" si="411"/>
        <v>0</v>
      </c>
      <c r="BS216" s="258">
        <f t="shared" si="411"/>
        <v>0</v>
      </c>
      <c r="BT216" s="258">
        <f t="shared" si="411"/>
        <v>10967892</v>
      </c>
    </row>
    <row r="217" spans="1:72" ht="16.5" thickBot="1" x14ac:dyDescent="0.3">
      <c r="B217" s="259"/>
      <c r="C217" s="259"/>
      <c r="D217" s="259"/>
      <c r="E217" s="259"/>
      <c r="F217" s="259"/>
      <c r="G217" s="259"/>
      <c r="H217" s="259"/>
      <c r="J217" s="259"/>
      <c r="K217" s="259"/>
      <c r="L217" s="259"/>
      <c r="M217" s="259"/>
      <c r="N217" s="259"/>
      <c r="O217" s="259"/>
      <c r="P217" s="259"/>
      <c r="R217" s="259"/>
      <c r="S217" s="259"/>
      <c r="T217" s="259"/>
      <c r="U217" s="259"/>
      <c r="V217" s="259"/>
      <c r="W217" s="259"/>
      <c r="X217" s="259"/>
      <c r="Z217" s="259"/>
      <c r="AA217" s="259"/>
      <c r="AB217" s="259"/>
      <c r="AC217" s="259"/>
      <c r="AD217" s="259"/>
      <c r="AE217" s="259"/>
      <c r="AF217" s="259"/>
      <c r="AH217" s="259"/>
      <c r="AI217" s="259"/>
      <c r="AJ217" s="259"/>
      <c r="AK217" s="259"/>
      <c r="AL217" s="259"/>
      <c r="AM217" s="259"/>
      <c r="AN217" s="259"/>
      <c r="AP217" s="259"/>
      <c r="AQ217" s="259"/>
      <c r="AR217" s="259"/>
      <c r="AS217" s="259"/>
      <c r="AT217" s="259"/>
      <c r="AU217" s="259"/>
      <c r="AV217" s="259"/>
      <c r="AX217" s="259"/>
      <c r="AY217" s="259"/>
      <c r="AZ217" s="259"/>
      <c r="BA217" s="259"/>
      <c r="BB217" s="259"/>
      <c r="BC217" s="259"/>
      <c r="BD217" s="259"/>
      <c r="BF217" s="259"/>
      <c r="BG217" s="259"/>
      <c r="BH217" s="259"/>
      <c r="BI217" s="259"/>
      <c r="BJ217" s="259"/>
      <c r="BK217" s="259"/>
      <c r="BL217" s="259"/>
      <c r="BN217" s="259"/>
      <c r="BO217" s="259"/>
      <c r="BP217" s="259"/>
      <c r="BQ217" s="259"/>
      <c r="BR217" s="259"/>
      <c r="BS217" s="259"/>
      <c r="BT217" s="259"/>
    </row>
    <row r="218" spans="1:72" ht="16.5" thickBot="1" x14ac:dyDescent="0.3">
      <c r="A218" s="218" t="s">
        <v>340</v>
      </c>
      <c r="B218" s="269">
        <f t="shared" ref="B218:H218" si="412">(B82+B88)-(B216+B209)</f>
        <v>832928.98662479408</v>
      </c>
      <c r="C218" s="269">
        <f t="shared" si="412"/>
        <v>-758245.18852187507</v>
      </c>
      <c r="D218" s="269">
        <f t="shared" si="412"/>
        <v>-57118.989999999991</v>
      </c>
      <c r="E218" s="269">
        <f t="shared" si="412"/>
        <v>0</v>
      </c>
      <c r="F218" s="269">
        <f t="shared" si="412"/>
        <v>-6753.875</v>
      </c>
      <c r="G218" s="269">
        <f t="shared" si="412"/>
        <v>0</v>
      </c>
      <c r="H218" s="269">
        <f t="shared" si="412"/>
        <v>10810.933102918789</v>
      </c>
      <c r="J218" s="269">
        <f t="shared" ref="J218:P218" si="413">(J82+J88)-(J216+J209)</f>
        <v>1346225.2702453099</v>
      </c>
      <c r="K218" s="269">
        <f t="shared" si="413"/>
        <v>-1110879.7498205998</v>
      </c>
      <c r="L218" s="269">
        <f t="shared" si="413"/>
        <v>-185458.06499999994</v>
      </c>
      <c r="M218" s="269">
        <f t="shared" si="413"/>
        <v>0</v>
      </c>
      <c r="N218" s="269">
        <f t="shared" si="413"/>
        <v>0</v>
      </c>
      <c r="O218" s="269">
        <f t="shared" si="413"/>
        <v>0</v>
      </c>
      <c r="P218" s="269">
        <f t="shared" si="413"/>
        <v>49887.455424711108</v>
      </c>
      <c r="R218" s="269">
        <f t="shared" ref="R218:X218" si="414">(R82+R88)-(R216+R209)</f>
        <v>629392.09484713711</v>
      </c>
      <c r="S218" s="269">
        <f t="shared" si="414"/>
        <v>-485350.05499068252</v>
      </c>
      <c r="T218" s="269">
        <f t="shared" si="414"/>
        <v>-79857.149999999994</v>
      </c>
      <c r="U218" s="269">
        <f t="shared" si="414"/>
        <v>0</v>
      </c>
      <c r="V218" s="269">
        <f t="shared" si="414"/>
        <v>0</v>
      </c>
      <c r="W218" s="269">
        <f t="shared" si="414"/>
        <v>0</v>
      </c>
      <c r="X218" s="269">
        <f t="shared" si="414"/>
        <v>64184.889856455848</v>
      </c>
      <c r="Z218" s="269">
        <f t="shared" ref="Z218:AF218" si="415">(Z82+Z88)-(Z216+Z209)</f>
        <v>619271.72556667589</v>
      </c>
      <c r="AA218" s="269">
        <f t="shared" si="415"/>
        <v>-527912.5505542648</v>
      </c>
      <c r="AB218" s="269">
        <f t="shared" si="415"/>
        <v>-85341.349999999991</v>
      </c>
      <c r="AC218" s="269">
        <f t="shared" si="415"/>
        <v>0</v>
      </c>
      <c r="AD218" s="269">
        <f t="shared" si="415"/>
        <v>0</v>
      </c>
      <c r="AE218" s="269">
        <f t="shared" si="415"/>
        <v>0</v>
      </c>
      <c r="AF218" s="269">
        <f t="shared" si="415"/>
        <v>6017.8250124119222</v>
      </c>
      <c r="AH218" s="269">
        <f t="shared" ref="AH218:AN218" si="416">(AH82+AH88)-(AH216+AH209)</f>
        <v>1399776.9031099118</v>
      </c>
      <c r="AI218" s="269">
        <f t="shared" si="416"/>
        <v>-1248531.75545925</v>
      </c>
      <c r="AJ218" s="269">
        <f t="shared" si="416"/>
        <v>-108849.84999999998</v>
      </c>
      <c r="AK218" s="269">
        <f t="shared" si="416"/>
        <v>0</v>
      </c>
      <c r="AL218" s="269">
        <f t="shared" si="416"/>
        <v>0</v>
      </c>
      <c r="AM218" s="269">
        <f t="shared" si="416"/>
        <v>0</v>
      </c>
      <c r="AN218" s="269">
        <f t="shared" si="416"/>
        <v>42395.297650657594</v>
      </c>
      <c r="AP218" s="269">
        <f t="shared" ref="AP218:AV218" si="417">(AP82+AP88)-(AP216+AP209)</f>
        <v>691874.09551404975</v>
      </c>
      <c r="AQ218" s="269">
        <f t="shared" si="417"/>
        <v>-618267.27581249992</v>
      </c>
      <c r="AR218" s="269">
        <f t="shared" si="417"/>
        <v>-5369.6212499999674</v>
      </c>
      <c r="AS218" s="269">
        <f t="shared" si="417"/>
        <v>0</v>
      </c>
      <c r="AT218" s="269">
        <f t="shared" si="417"/>
        <v>-66584.171525000012</v>
      </c>
      <c r="AU218" s="269">
        <f t="shared" si="417"/>
        <v>0</v>
      </c>
      <c r="AV218" s="269">
        <f t="shared" si="417"/>
        <v>1653.0269265472889</v>
      </c>
      <c r="AX218" s="269">
        <f t="shared" ref="AX218:BD218" si="418">(AX82+AX88)-(AX216+AX209)</f>
        <v>316342.01921406016</v>
      </c>
      <c r="AY218" s="269">
        <f t="shared" si="418"/>
        <v>-142011.8569825</v>
      </c>
      <c r="AZ218" s="269">
        <f t="shared" si="418"/>
        <v>0</v>
      </c>
      <c r="BA218" s="269">
        <f t="shared" si="418"/>
        <v>0</v>
      </c>
      <c r="BB218" s="269">
        <f t="shared" si="418"/>
        <v>-17034.945861547501</v>
      </c>
      <c r="BC218" s="269">
        <f t="shared" si="418"/>
        <v>0</v>
      </c>
      <c r="BD218" s="269">
        <f t="shared" si="418"/>
        <v>157295.21637001261</v>
      </c>
      <c r="BF218" s="269">
        <f t="shared" ref="BF218:BL218" si="419">(BF82+BF88)-(BF216+BF209)</f>
        <v>87471.118377374951</v>
      </c>
      <c r="BG218" s="269">
        <f t="shared" si="419"/>
        <v>0</v>
      </c>
      <c r="BH218" s="269">
        <f t="shared" si="419"/>
        <v>-39664.15625</v>
      </c>
      <c r="BI218" s="269">
        <f t="shared" si="419"/>
        <v>0</v>
      </c>
      <c r="BJ218" s="269">
        <f t="shared" si="419"/>
        <v>-36641.581018749974</v>
      </c>
      <c r="BK218" s="269">
        <f t="shared" si="419"/>
        <v>0</v>
      </c>
      <c r="BL218" s="269">
        <f t="shared" si="419"/>
        <v>11165.381108625093</v>
      </c>
      <c r="BN218" s="269">
        <f t="shared" ref="BN218:BT218" si="420">(BN82+BN88)-(BN216+BN209)</f>
        <v>5923282.2134993076</v>
      </c>
      <c r="BO218" s="269">
        <f t="shared" si="420"/>
        <v>-4891198.432141671</v>
      </c>
      <c r="BP218" s="269">
        <f t="shared" si="420"/>
        <v>-561659.18249999988</v>
      </c>
      <c r="BQ218" s="269">
        <f t="shared" si="420"/>
        <v>0</v>
      </c>
      <c r="BR218" s="269">
        <f t="shared" si="420"/>
        <v>-127014.57340529747</v>
      </c>
      <c r="BS218" s="269">
        <f t="shared" si="420"/>
        <v>0</v>
      </c>
      <c r="BT218" s="269">
        <f t="shared" si="420"/>
        <v>343410.02545233071</v>
      </c>
    </row>
    <row r="219" spans="1:72" x14ac:dyDescent="0.25">
      <c r="B219" s="259"/>
      <c r="C219" s="259"/>
      <c r="D219" s="259"/>
      <c r="E219" s="259"/>
      <c r="F219" s="259"/>
      <c r="G219" s="259"/>
      <c r="H219" s="270">
        <f>H218/(H68+H69+H70)</f>
        <v>1.1682318400655525E-3</v>
      </c>
      <c r="J219" s="259"/>
      <c r="K219" s="259"/>
      <c r="L219" s="259"/>
      <c r="M219" s="259"/>
      <c r="N219" s="259"/>
      <c r="O219" s="259"/>
      <c r="P219" s="270">
        <f>P218/(P68+P69+P70)</f>
        <v>2.0082530336557988E-3</v>
      </c>
      <c r="R219" s="259"/>
      <c r="S219" s="259"/>
      <c r="T219" s="259"/>
      <c r="U219" s="259"/>
      <c r="V219" s="259"/>
      <c r="W219" s="259"/>
      <c r="X219" s="270">
        <f>X218/(X68+X69+X70)</f>
        <v>6.2658411891789263E-3</v>
      </c>
      <c r="Z219" s="259"/>
      <c r="AA219" s="259"/>
      <c r="AB219" s="259"/>
      <c r="AC219" s="259"/>
      <c r="AD219" s="259"/>
      <c r="AE219" s="259"/>
      <c r="AF219" s="270">
        <f>AF218/(AF68+AF69+AF70)</f>
        <v>5.03124934153087E-4</v>
      </c>
      <c r="AH219" s="259"/>
      <c r="AI219" s="259"/>
      <c r="AJ219" s="259"/>
      <c r="AK219" s="259"/>
      <c r="AL219" s="259"/>
      <c r="AM219" s="259"/>
      <c r="AN219" s="270">
        <f>AN218/(AN68+AN69+AN70)</f>
        <v>1.7082443719054821E-3</v>
      </c>
      <c r="AP219" s="259"/>
      <c r="AQ219" s="259"/>
      <c r="AR219" s="259"/>
      <c r="AS219" s="259"/>
      <c r="AT219" s="259"/>
      <c r="AU219" s="259"/>
      <c r="AV219" s="270">
        <f>AV218/(AV68+AV69+AV70)</f>
        <v>1.8083451488811459E-4</v>
      </c>
      <c r="AX219" s="259"/>
      <c r="AY219" s="259"/>
      <c r="AZ219" s="259"/>
      <c r="BA219" s="259"/>
      <c r="BB219" s="259"/>
      <c r="BC219" s="259"/>
      <c r="BD219" s="270">
        <f>BD218/(BD68+BD69+BD70)</f>
        <v>8.7980195391337862E-2</v>
      </c>
      <c r="BF219" s="259"/>
      <c r="BG219" s="259"/>
      <c r="BH219" s="259"/>
      <c r="BI219" s="259"/>
      <c r="BJ219" s="259"/>
      <c r="BK219" s="259"/>
      <c r="BL219" s="270" t="e">
        <f>BL218/(BL68+BL69+BL70)</f>
        <v>#DIV/0!</v>
      </c>
      <c r="BN219" s="259"/>
      <c r="BO219" s="259"/>
      <c r="BP219" s="259"/>
      <c r="BQ219" s="259"/>
      <c r="BR219" s="259"/>
      <c r="BS219" s="259"/>
      <c r="BT219" s="270">
        <f>BT218/(BT68+BT69+BT70)</f>
        <v>3.7308183164656782E-3</v>
      </c>
    </row>
    <row r="220" spans="1:72" x14ac:dyDescent="0.25">
      <c r="A220" s="219" t="str">
        <f>A1</f>
        <v>Pinecrest Academy - FY29</v>
      </c>
      <c r="B220" s="271" t="str">
        <f t="shared" ref="B220:H220" si="421">B20</f>
        <v>Operating</v>
      </c>
      <c r="C220" s="271" t="str">
        <f t="shared" si="421"/>
        <v>SPED</v>
      </c>
      <c r="D220" s="271" t="str">
        <f t="shared" si="421"/>
        <v>NSLP</v>
      </c>
      <c r="E220" s="271" t="str">
        <f t="shared" si="421"/>
        <v>Other</v>
      </c>
      <c r="F220" s="271" t="str">
        <f t="shared" si="421"/>
        <v>Titles/Grants</v>
      </c>
      <c r="G220" s="271" t="str">
        <f t="shared" si="421"/>
        <v>SGF</v>
      </c>
      <c r="H220" s="271" t="str">
        <f t="shared" si="421"/>
        <v>Horizon</v>
      </c>
      <c r="J220" s="271" t="str">
        <f t="shared" ref="J220:P220" si="422">J20</f>
        <v>Operating</v>
      </c>
      <c r="K220" s="271" t="str">
        <f t="shared" si="422"/>
        <v>SPED</v>
      </c>
      <c r="L220" s="271" t="str">
        <f t="shared" si="422"/>
        <v>NSLP</v>
      </c>
      <c r="M220" s="271" t="str">
        <f t="shared" si="422"/>
        <v>Other</v>
      </c>
      <c r="N220" s="271" t="str">
        <f t="shared" si="422"/>
        <v>Titles/Grants</v>
      </c>
      <c r="O220" s="271" t="str">
        <f t="shared" si="422"/>
        <v>SGF</v>
      </c>
      <c r="P220" s="271" t="str">
        <f t="shared" si="422"/>
        <v>Cadence</v>
      </c>
      <c r="R220" s="271" t="str">
        <f t="shared" ref="R220:X220" si="423">R20</f>
        <v>Operating</v>
      </c>
      <c r="S220" s="271" t="str">
        <f t="shared" si="423"/>
        <v>SPED</v>
      </c>
      <c r="T220" s="271" t="str">
        <f t="shared" si="423"/>
        <v>NSLP</v>
      </c>
      <c r="U220" s="271" t="str">
        <f t="shared" si="423"/>
        <v>Other</v>
      </c>
      <c r="V220" s="271" t="str">
        <f t="shared" si="423"/>
        <v>Titles/Grants</v>
      </c>
      <c r="W220" s="271" t="str">
        <f t="shared" si="423"/>
        <v>SGF</v>
      </c>
      <c r="X220" s="271" t="str">
        <f t="shared" si="423"/>
        <v>St. Rose</v>
      </c>
      <c r="Z220" s="271" t="str">
        <f t="shared" ref="Z220:AF220" si="424">Z20</f>
        <v>Operating</v>
      </c>
      <c r="AA220" s="271" t="str">
        <f t="shared" si="424"/>
        <v>SPED</v>
      </c>
      <c r="AB220" s="271" t="str">
        <f t="shared" si="424"/>
        <v>NSLP</v>
      </c>
      <c r="AC220" s="271" t="str">
        <f t="shared" si="424"/>
        <v>Other</v>
      </c>
      <c r="AD220" s="271" t="str">
        <f t="shared" si="424"/>
        <v>Titles/Grants</v>
      </c>
      <c r="AE220" s="271" t="str">
        <f t="shared" si="424"/>
        <v>SGF</v>
      </c>
      <c r="AF220" s="271" t="str">
        <f t="shared" si="424"/>
        <v>Inspirada</v>
      </c>
      <c r="AH220" s="271" t="str">
        <f t="shared" ref="AH220:AN220" si="425">AH20</f>
        <v>Operating</v>
      </c>
      <c r="AI220" s="271" t="str">
        <f t="shared" si="425"/>
        <v>SPED</v>
      </c>
      <c r="AJ220" s="271" t="str">
        <f t="shared" si="425"/>
        <v>NSLP</v>
      </c>
      <c r="AK220" s="271" t="str">
        <f t="shared" si="425"/>
        <v>Other</v>
      </c>
      <c r="AL220" s="271" t="str">
        <f t="shared" si="425"/>
        <v>Titles/Grants</v>
      </c>
      <c r="AM220" s="271" t="str">
        <f t="shared" si="425"/>
        <v>SGF</v>
      </c>
      <c r="AN220" s="271" t="str">
        <f t="shared" si="425"/>
        <v>Sloan</v>
      </c>
      <c r="AP220" s="271" t="str">
        <f t="shared" ref="AP220:AV220" si="426">AP20</f>
        <v>Operating</v>
      </c>
      <c r="AQ220" s="271" t="str">
        <f t="shared" si="426"/>
        <v>SPED</v>
      </c>
      <c r="AR220" s="271" t="str">
        <f t="shared" si="426"/>
        <v>NSLP</v>
      </c>
      <c r="AS220" s="271" t="str">
        <f t="shared" si="426"/>
        <v>Other</v>
      </c>
      <c r="AT220" s="271" t="str">
        <f t="shared" si="426"/>
        <v>Titles/Grants</v>
      </c>
      <c r="AU220" s="271" t="str">
        <f t="shared" si="426"/>
        <v>SGF</v>
      </c>
      <c r="AV220" s="271" t="str">
        <f t="shared" si="426"/>
        <v>Springs</v>
      </c>
      <c r="AX220" s="271" t="str">
        <f t="shared" ref="AX220:BD220" si="427">AX20</f>
        <v>Operating</v>
      </c>
      <c r="AY220" s="271" t="str">
        <f t="shared" si="427"/>
        <v>SPED</v>
      </c>
      <c r="AZ220" s="271" t="str">
        <f t="shared" si="427"/>
        <v>NSLP</v>
      </c>
      <c r="BA220" s="271" t="str">
        <f t="shared" si="427"/>
        <v>Other</v>
      </c>
      <c r="BB220" s="271" t="str">
        <f t="shared" si="427"/>
        <v>Titles/Grants</v>
      </c>
      <c r="BC220" s="271" t="str">
        <f t="shared" si="427"/>
        <v>SGF</v>
      </c>
      <c r="BD220" s="271" t="str">
        <f t="shared" si="427"/>
        <v>Virtual</v>
      </c>
      <c r="BF220" s="271" t="str">
        <f t="shared" ref="BF220:BL220" si="428">BF20</f>
        <v>Operating</v>
      </c>
      <c r="BG220" s="271" t="str">
        <f t="shared" si="428"/>
        <v>SPED</v>
      </c>
      <c r="BH220" s="271" t="str">
        <f t="shared" si="428"/>
        <v>NSLP</v>
      </c>
      <c r="BI220" s="271" t="str">
        <f t="shared" si="428"/>
        <v>Other</v>
      </c>
      <c r="BJ220" s="271" t="str">
        <f t="shared" si="428"/>
        <v>Titles/Grants</v>
      </c>
      <c r="BK220" s="271" t="str">
        <f t="shared" si="428"/>
        <v>SGF</v>
      </c>
      <c r="BL220" s="271" t="str">
        <f t="shared" si="428"/>
        <v>Central</v>
      </c>
      <c r="BN220" s="271" t="str">
        <f t="shared" ref="BN220:BT220" si="429">BN20</f>
        <v>Operating</v>
      </c>
      <c r="BO220" s="271" t="str">
        <f t="shared" si="429"/>
        <v>SPED</v>
      </c>
      <c r="BP220" s="271" t="str">
        <f t="shared" si="429"/>
        <v>NSLP</v>
      </c>
      <c r="BQ220" s="271" t="str">
        <f t="shared" si="429"/>
        <v>Other</v>
      </c>
      <c r="BR220" s="271" t="str">
        <f t="shared" si="429"/>
        <v>Titles/Grants</v>
      </c>
      <c r="BS220" s="271" t="str">
        <f t="shared" si="429"/>
        <v>SGF</v>
      </c>
      <c r="BT220" s="271" t="str">
        <f t="shared" si="429"/>
        <v>System</v>
      </c>
    </row>
    <row r="222" spans="1:72" x14ac:dyDescent="0.25">
      <c r="D222" s="225"/>
      <c r="L222" s="225">
        <f>(L80+L81)-(L180+L181)</f>
        <v>88875</v>
      </c>
      <c r="AB222" s="225"/>
      <c r="AR222" s="225"/>
    </row>
    <row r="223" spans="1:72" x14ac:dyDescent="0.25">
      <c r="T223" s="225"/>
      <c r="U223" s="274"/>
      <c r="AJ223" s="225"/>
    </row>
    <row r="224" spans="1:72" x14ac:dyDescent="0.25">
      <c r="U224" s="274"/>
    </row>
    <row r="225" spans="16:40" x14ac:dyDescent="0.25">
      <c r="P225" s="225"/>
      <c r="U225" s="274"/>
    </row>
    <row r="226" spans="16:40" x14ac:dyDescent="0.25">
      <c r="U226" s="274"/>
    </row>
    <row r="227" spans="16:40" x14ac:dyDescent="0.25">
      <c r="U227" s="274"/>
    </row>
    <row r="228" spans="16:40" x14ac:dyDescent="0.25">
      <c r="U228" s="274"/>
    </row>
    <row r="229" spans="16:40" x14ac:dyDescent="0.25">
      <c r="U229" s="274"/>
    </row>
    <row r="230" spans="16:40" x14ac:dyDescent="0.25">
      <c r="U230" s="274"/>
      <c r="AN230" s="225"/>
    </row>
    <row r="231" spans="16:40" x14ac:dyDescent="0.25">
      <c r="U231" s="274"/>
      <c r="AN231" s="225"/>
    </row>
    <row r="232" spans="16:40" x14ac:dyDescent="0.25">
      <c r="U232" s="274"/>
    </row>
    <row r="233" spans="16:40" x14ac:dyDescent="0.25">
      <c r="U233" s="274"/>
    </row>
    <row r="234" spans="16:40" x14ac:dyDescent="0.25">
      <c r="U234" s="274"/>
    </row>
    <row r="244" spans="13:13" x14ac:dyDescent="0.25">
      <c r="M244" s="116">
        <v>9416</v>
      </c>
    </row>
    <row r="245" spans="13:13" x14ac:dyDescent="0.25">
      <c r="M245" s="116">
        <v>30</v>
      </c>
    </row>
    <row r="246" spans="13:13" x14ac:dyDescent="0.25">
      <c r="M246" s="274">
        <f>M244*M245</f>
        <v>282480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F6A8-29D1-4007-8ED9-A8B7D17F22A3}">
  <dimension ref="A1:BU246"/>
  <sheetViews>
    <sheetView topLeftCell="A45" workbookViewId="0">
      <pane xSplit="1" topLeftCell="AR1" activePane="topRight" state="frozen"/>
      <selection activeCell="C74" sqref="C74"/>
      <selection pane="topRight" activeCell="AX51" sqref="AX51"/>
    </sheetView>
  </sheetViews>
  <sheetFormatPr defaultRowHeight="15.75" x14ac:dyDescent="0.25"/>
  <cols>
    <col min="1" max="1" width="55.5703125" style="187" bestFit="1" customWidth="1"/>
    <col min="2" max="8" width="20.85546875" style="116" customWidth="1"/>
    <col min="10" max="16" width="20.85546875" style="116" customWidth="1"/>
    <col min="18" max="24" width="20.85546875" style="116" customWidth="1"/>
    <col min="25" max="25" width="12.7109375" bestFit="1" customWidth="1"/>
    <col min="26" max="32" width="20.85546875" style="116" customWidth="1"/>
    <col min="34" max="40" width="20.85546875" style="116" customWidth="1"/>
    <col min="42" max="48" width="20.85546875" style="116" customWidth="1"/>
    <col min="50" max="56" width="20.85546875" style="116" customWidth="1"/>
    <col min="58" max="64" width="20.85546875" style="116" customWidth="1"/>
    <col min="66" max="72" width="20.85546875" style="116" customWidth="1"/>
  </cols>
  <sheetData>
    <row r="1" spans="1:72" x14ac:dyDescent="0.25">
      <c r="A1" s="181" t="s">
        <v>372</v>
      </c>
      <c r="B1" s="181" t="s">
        <v>59</v>
      </c>
      <c r="J1" s="181" t="s">
        <v>60</v>
      </c>
      <c r="R1" s="181" t="s">
        <v>62</v>
      </c>
      <c r="Z1" s="181" t="s">
        <v>63</v>
      </c>
      <c r="AH1" s="181" t="s">
        <v>316</v>
      </c>
      <c r="AP1" s="181" t="s">
        <v>317</v>
      </c>
      <c r="AX1" s="181" t="s">
        <v>318</v>
      </c>
      <c r="BF1" s="181" t="s">
        <v>322</v>
      </c>
      <c r="BN1" s="181" t="s">
        <v>326</v>
      </c>
    </row>
    <row r="2" spans="1:72" x14ac:dyDescent="0.25">
      <c r="A2" s="182" t="s">
        <v>172</v>
      </c>
      <c r="B2" s="220">
        <v>9925</v>
      </c>
      <c r="J2" s="220">
        <f>B2</f>
        <v>9925</v>
      </c>
      <c r="R2" s="220">
        <f>J2</f>
        <v>9925</v>
      </c>
      <c r="Z2" s="220">
        <f>R2</f>
        <v>9925</v>
      </c>
      <c r="AH2" s="220">
        <f>Z2</f>
        <v>9925</v>
      </c>
      <c r="AP2" s="220">
        <f>AH2</f>
        <v>9925</v>
      </c>
      <c r="AX2" s="220">
        <f>AP2</f>
        <v>9925</v>
      </c>
      <c r="BF2" s="220">
        <f>AX2</f>
        <v>9925</v>
      </c>
      <c r="BN2" s="220">
        <f>BF2</f>
        <v>9925</v>
      </c>
    </row>
    <row r="3" spans="1:72" x14ac:dyDescent="0.25">
      <c r="A3" s="183" t="s">
        <v>75</v>
      </c>
      <c r="B3" s="221">
        <f>B4+B5+B6+B7+B8+B9+B10+B11+B12+B13+B14+B15+B16</f>
        <v>927</v>
      </c>
      <c r="C3" s="222"/>
      <c r="F3" s="181"/>
      <c r="G3" s="181"/>
      <c r="H3" s="181"/>
      <c r="J3" s="221">
        <f>J4+J5+J6+J7+J8+J9+J10+J11+J12+J13+J14+J15+J16</f>
        <v>2514</v>
      </c>
      <c r="K3" s="222"/>
      <c r="N3" s="181"/>
      <c r="O3" s="181"/>
      <c r="P3" s="181"/>
      <c r="R3" s="221">
        <f>R4+R5+R6+R7+R8+R9+R10+R11+R12+R13+R14+R15+R16</f>
        <v>1030</v>
      </c>
      <c r="S3" s="273"/>
      <c r="V3" s="181"/>
      <c r="W3" s="181"/>
      <c r="X3" s="181"/>
      <c r="Z3" s="221">
        <f>Z4+Z5+Z6+Z7+Z8+Z9+Z10+Z11+Z12+Z13+Z14+Z15+Z16</f>
        <v>1198</v>
      </c>
      <c r="AA3" s="273"/>
      <c r="AD3" s="181"/>
      <c r="AE3" s="181"/>
      <c r="AF3" s="181"/>
      <c r="AH3" s="221">
        <f>AH4+AH5+AH6+AH7+AH8+AH9+AH10+AH11+AH12+AH13+AH14+AH15+AH16</f>
        <v>2508</v>
      </c>
      <c r="AI3" s="273"/>
      <c r="AL3" s="181"/>
      <c r="AM3" s="181"/>
      <c r="AN3" s="181"/>
      <c r="AP3" s="221">
        <f>AP4+AP5+AP6+AP7+AP8+AP9+AP10+AP11+AP12+AP13+AP14+AP15+AP16</f>
        <v>920</v>
      </c>
      <c r="AQ3" s="273"/>
      <c r="AT3" s="181"/>
      <c r="AU3" s="181"/>
      <c r="AV3" s="181"/>
      <c r="AX3" s="221">
        <f>AX4+AX5+AX6+AX7+AX8+AX9+AX10+AX11+AX12+AX13+AX14+AX15+AX16</f>
        <v>182</v>
      </c>
      <c r="AY3" s="273"/>
      <c r="BB3" s="181"/>
      <c r="BC3" s="181"/>
      <c r="BD3" s="181"/>
      <c r="BF3" s="221">
        <f>BF4+BF5+BF6+BF7+BF8+BF9+BF10+BF11+BF12+BF13+BF14+BF15+BF16</f>
        <v>0</v>
      </c>
      <c r="BG3" s="222"/>
      <c r="BJ3" s="181"/>
      <c r="BK3" s="181"/>
      <c r="BL3" s="181"/>
      <c r="BN3" s="221">
        <f>BN4+BN5+BN6+BN7+BN8+BN9+BN10+BN11+BN12+BN13+BN14+BN15+BN16</f>
        <v>9279</v>
      </c>
      <c r="BO3" s="222"/>
      <c r="BR3" s="181"/>
      <c r="BS3" s="181"/>
      <c r="BT3" s="181"/>
    </row>
    <row r="4" spans="1:72" x14ac:dyDescent="0.25">
      <c r="A4" s="184" t="s">
        <v>77</v>
      </c>
      <c r="B4" s="223">
        <v>150</v>
      </c>
      <c r="C4" s="222"/>
      <c r="D4" s="187"/>
      <c r="E4" s="224"/>
      <c r="F4" s="225"/>
      <c r="G4" s="225"/>
      <c r="H4" s="225"/>
      <c r="J4" s="223">
        <f>125+5</f>
        <v>130</v>
      </c>
      <c r="K4" s="273">
        <v>5</v>
      </c>
      <c r="L4" s="187"/>
      <c r="M4" s="224"/>
      <c r="N4" s="225"/>
      <c r="O4" s="225"/>
      <c r="P4" s="225"/>
      <c r="R4" s="223">
        <f>100</f>
        <v>100</v>
      </c>
      <c r="S4" s="273">
        <v>4</v>
      </c>
      <c r="T4" s="187"/>
      <c r="U4" s="224"/>
      <c r="V4" s="225"/>
      <c r="W4" s="225"/>
      <c r="X4" s="225"/>
      <c r="Z4" s="223">
        <v>125</v>
      </c>
      <c r="AA4" s="273">
        <v>4</v>
      </c>
      <c r="AB4" s="187"/>
      <c r="AC4" s="224"/>
      <c r="AD4" s="225"/>
      <c r="AE4" s="225"/>
      <c r="AF4" s="225"/>
      <c r="AH4" s="227">
        <v>125</v>
      </c>
      <c r="AI4" s="273">
        <v>5</v>
      </c>
      <c r="AJ4" s="277"/>
      <c r="AK4" s="276"/>
      <c r="AL4" s="225"/>
      <c r="AM4" s="225"/>
      <c r="AN4" s="225"/>
      <c r="AP4" s="223">
        <v>100</v>
      </c>
      <c r="AQ4" s="273">
        <v>4</v>
      </c>
      <c r="AR4" s="187"/>
      <c r="AS4" s="224"/>
      <c r="AT4" s="225"/>
      <c r="AU4" s="225"/>
      <c r="AV4" s="225"/>
      <c r="AX4" s="223">
        <v>0</v>
      </c>
      <c r="AY4" s="273"/>
      <c r="AZ4" s="187"/>
      <c r="BA4" s="224"/>
      <c r="BB4" s="225"/>
      <c r="BC4" s="225"/>
      <c r="BD4" s="225"/>
      <c r="BF4" s="223"/>
      <c r="BG4" s="222"/>
      <c r="BH4" s="187"/>
      <c r="BI4" s="283"/>
      <c r="BJ4" s="225"/>
      <c r="BK4" s="225"/>
      <c r="BL4" s="225"/>
      <c r="BN4" s="223">
        <f>B4+J4+R4+Z4+AH4+AP4+AX4+BF4</f>
        <v>730</v>
      </c>
      <c r="BO4" s="222"/>
      <c r="BP4" s="187"/>
      <c r="BQ4" s="283"/>
      <c r="BR4" s="225"/>
      <c r="BS4" s="225"/>
      <c r="BT4" s="225"/>
    </row>
    <row r="5" spans="1:72" x14ac:dyDescent="0.25">
      <c r="A5" s="183" t="s">
        <v>78</v>
      </c>
      <c r="B5" s="223">
        <v>154</v>
      </c>
      <c r="C5" s="222"/>
      <c r="D5" s="187"/>
      <c r="E5" s="224"/>
      <c r="F5" s="225"/>
      <c r="G5" s="225"/>
      <c r="H5" s="225"/>
      <c r="J5" s="223">
        <f>130+5</f>
        <v>135</v>
      </c>
      <c r="K5" s="273">
        <v>5</v>
      </c>
      <c r="L5" s="187"/>
      <c r="M5" s="224"/>
      <c r="N5" s="225"/>
      <c r="O5" s="225"/>
      <c r="P5" s="225"/>
      <c r="R5" s="223">
        <v>104</v>
      </c>
      <c r="S5" s="273">
        <v>4</v>
      </c>
      <c r="T5" s="187"/>
      <c r="U5" s="224"/>
      <c r="V5" s="225"/>
      <c r="W5" s="225"/>
      <c r="X5" s="225"/>
      <c r="Z5" s="223">
        <v>129</v>
      </c>
      <c r="AA5" s="273">
        <v>4</v>
      </c>
      <c r="AB5" s="187"/>
      <c r="AC5" s="224"/>
      <c r="AD5" s="225"/>
      <c r="AE5" s="225"/>
      <c r="AF5" s="225"/>
      <c r="AH5" s="227">
        <v>125</v>
      </c>
      <c r="AI5" s="273">
        <v>5</v>
      </c>
      <c r="AJ5" s="278"/>
      <c r="AK5" s="276"/>
      <c r="AL5" s="225"/>
      <c r="AM5" s="225"/>
      <c r="AN5" s="225"/>
      <c r="AP5" s="223">
        <v>104</v>
      </c>
      <c r="AQ5" s="273">
        <v>4</v>
      </c>
      <c r="AR5" s="187"/>
      <c r="AS5" s="224"/>
      <c r="AT5" s="225"/>
      <c r="AU5" s="225"/>
      <c r="AV5" s="225"/>
      <c r="AX5" s="223">
        <v>0</v>
      </c>
      <c r="AY5" s="273"/>
      <c r="AZ5" s="187"/>
      <c r="BA5" s="224"/>
      <c r="BB5" s="225"/>
      <c r="BC5" s="225"/>
      <c r="BD5" s="225"/>
      <c r="BF5" s="223"/>
      <c r="BG5" s="222"/>
      <c r="BH5" s="187"/>
      <c r="BI5" s="283"/>
      <c r="BJ5" s="225"/>
      <c r="BK5" s="225"/>
      <c r="BL5" s="225"/>
      <c r="BN5" s="223">
        <f t="shared" ref="BN5:BN16" si="0">B5+J5+R5+Z5+AH5+AP5+AX5+BF5</f>
        <v>751</v>
      </c>
      <c r="BO5" s="222"/>
      <c r="BP5" s="187"/>
      <c r="BQ5" s="283"/>
      <c r="BR5" s="225"/>
      <c r="BS5" s="225"/>
      <c r="BT5" s="225"/>
    </row>
    <row r="6" spans="1:72" x14ac:dyDescent="0.25">
      <c r="A6" s="183" t="s">
        <v>79</v>
      </c>
      <c r="B6" s="223">
        <v>154</v>
      </c>
      <c r="C6" s="222"/>
      <c r="D6" s="187"/>
      <c r="E6" s="224"/>
      <c r="F6" s="225"/>
      <c r="G6" s="225"/>
      <c r="H6" s="225"/>
      <c r="J6" s="223">
        <f>135+10</f>
        <v>145</v>
      </c>
      <c r="K6" s="273">
        <v>5</v>
      </c>
      <c r="L6" s="187"/>
      <c r="M6" s="224"/>
      <c r="N6" s="225"/>
      <c r="O6" s="225"/>
      <c r="P6" s="225"/>
      <c r="R6" s="223">
        <v>108</v>
      </c>
      <c r="S6" s="273">
        <v>4</v>
      </c>
      <c r="T6" s="187"/>
      <c r="U6" s="224"/>
      <c r="V6" s="225"/>
      <c r="W6" s="225"/>
      <c r="X6" s="225"/>
      <c r="Z6" s="223">
        <v>129</v>
      </c>
      <c r="AA6" s="273">
        <v>4</v>
      </c>
      <c r="AB6" s="187"/>
      <c r="AC6" s="224"/>
      <c r="AD6" s="225"/>
      <c r="AE6" s="225"/>
      <c r="AF6" s="225"/>
      <c r="AH6" s="227">
        <v>132</v>
      </c>
      <c r="AI6" s="273">
        <v>5</v>
      </c>
      <c r="AJ6" s="278"/>
      <c r="AK6" s="276"/>
      <c r="AL6" s="225"/>
      <c r="AM6" s="225"/>
      <c r="AN6" s="225"/>
      <c r="AP6" s="223">
        <v>104</v>
      </c>
      <c r="AQ6" s="273">
        <v>4</v>
      </c>
      <c r="AR6" s="187"/>
      <c r="AS6" s="224"/>
      <c r="AT6" s="225"/>
      <c r="AU6" s="225"/>
      <c r="AV6" s="225"/>
      <c r="AX6" s="223">
        <v>0</v>
      </c>
      <c r="AY6" s="273"/>
      <c r="AZ6" s="187"/>
      <c r="BA6" s="224"/>
      <c r="BB6" s="225"/>
      <c r="BC6" s="225"/>
      <c r="BD6" s="225"/>
      <c r="BF6" s="223"/>
      <c r="BG6" s="222"/>
      <c r="BH6" s="187"/>
      <c r="BI6" s="283"/>
      <c r="BJ6" s="225"/>
      <c r="BK6" s="225"/>
      <c r="BL6" s="225"/>
      <c r="BN6" s="223">
        <f t="shared" si="0"/>
        <v>772</v>
      </c>
      <c r="BO6" s="222"/>
      <c r="BP6" s="187"/>
      <c r="BQ6" s="283"/>
      <c r="BR6" s="225"/>
      <c r="BS6" s="225"/>
      <c r="BT6" s="225"/>
    </row>
    <row r="7" spans="1:72" x14ac:dyDescent="0.25">
      <c r="A7" s="185" t="s">
        <v>80</v>
      </c>
      <c r="B7" s="223">
        <v>159</v>
      </c>
      <c r="C7" s="222"/>
      <c r="D7" s="187"/>
      <c r="E7" s="224"/>
      <c r="F7" s="225"/>
      <c r="G7" s="225"/>
      <c r="H7" s="225"/>
      <c r="J7" s="223">
        <f>135+10</f>
        <v>145</v>
      </c>
      <c r="K7" s="273">
        <v>5</v>
      </c>
      <c r="L7" s="187"/>
      <c r="M7" s="224"/>
      <c r="N7" s="225"/>
      <c r="O7" s="225"/>
      <c r="P7" s="225"/>
      <c r="R7" s="223">
        <f>112+4</f>
        <v>116</v>
      </c>
      <c r="S7" s="273">
        <v>4</v>
      </c>
      <c r="T7" s="187"/>
      <c r="U7" s="224"/>
      <c r="V7" s="225"/>
      <c r="W7" s="225"/>
      <c r="X7" s="225"/>
      <c r="Z7" s="223">
        <v>129</v>
      </c>
      <c r="AA7" s="273">
        <v>4</v>
      </c>
      <c r="AB7" s="187"/>
      <c r="AC7" s="224"/>
      <c r="AD7" s="225"/>
      <c r="AE7" s="225"/>
      <c r="AF7" s="225"/>
      <c r="AH7" s="227">
        <v>137</v>
      </c>
      <c r="AI7" s="273">
        <v>5</v>
      </c>
      <c r="AJ7" s="277"/>
      <c r="AK7" s="276"/>
      <c r="AL7" s="225"/>
      <c r="AM7" s="225"/>
      <c r="AN7" s="225"/>
      <c r="AP7" s="223">
        <v>108</v>
      </c>
      <c r="AQ7" s="273">
        <v>4</v>
      </c>
      <c r="AR7" s="187"/>
      <c r="AS7" s="224"/>
      <c r="AT7" s="225"/>
      <c r="AU7" s="225"/>
      <c r="AV7" s="225"/>
      <c r="AX7" s="223">
        <v>0</v>
      </c>
      <c r="AY7" s="273"/>
      <c r="AZ7" s="187"/>
      <c r="BA7" s="224"/>
      <c r="BB7" s="225"/>
      <c r="BC7" s="225"/>
      <c r="BD7" s="225"/>
      <c r="BF7" s="223"/>
      <c r="BG7" s="222"/>
      <c r="BH7" s="187"/>
      <c r="BI7" s="283"/>
      <c r="BJ7" s="225"/>
      <c r="BK7" s="225"/>
      <c r="BL7" s="225"/>
      <c r="BN7" s="223">
        <f t="shared" si="0"/>
        <v>794</v>
      </c>
      <c r="BO7" s="222"/>
      <c r="BP7" s="187"/>
      <c r="BQ7" s="283"/>
      <c r="BR7" s="225"/>
      <c r="BS7" s="225"/>
      <c r="BT7" s="225"/>
    </row>
    <row r="8" spans="1:72" x14ac:dyDescent="0.25">
      <c r="A8" s="185" t="s">
        <v>81</v>
      </c>
      <c r="B8" s="223">
        <f>158</f>
        <v>158</v>
      </c>
      <c r="C8" s="222"/>
      <c r="D8" s="187"/>
      <c r="E8" s="224"/>
      <c r="F8" s="225"/>
      <c r="G8" s="225"/>
      <c r="H8" s="225"/>
      <c r="J8" s="223">
        <f>140+10</f>
        <v>150</v>
      </c>
      <c r="K8" s="273">
        <v>5</v>
      </c>
      <c r="L8" s="187"/>
      <c r="M8" s="224"/>
      <c r="N8" s="225"/>
      <c r="O8" s="225"/>
      <c r="P8" s="225"/>
      <c r="R8" s="223">
        <f>111+4</f>
        <v>115</v>
      </c>
      <c r="S8" s="273">
        <v>4</v>
      </c>
      <c r="T8" s="187"/>
      <c r="U8" s="224"/>
      <c r="V8" s="225"/>
      <c r="W8" s="225"/>
      <c r="X8" s="225"/>
      <c r="Z8" s="223">
        <v>128</v>
      </c>
      <c r="AA8" s="273">
        <v>4</v>
      </c>
      <c r="AB8" s="187"/>
      <c r="AC8" s="224"/>
      <c r="AD8" s="225"/>
      <c r="AE8" s="225"/>
      <c r="AF8" s="225"/>
      <c r="AH8" s="227">
        <f>135+5</f>
        <v>140</v>
      </c>
      <c r="AI8" s="273">
        <v>5</v>
      </c>
      <c r="AJ8" s="277"/>
      <c r="AK8" s="276"/>
      <c r="AL8" s="225"/>
      <c r="AM8" s="225"/>
      <c r="AN8" s="225"/>
      <c r="AP8" s="223">
        <f>4*27</f>
        <v>108</v>
      </c>
      <c r="AQ8" s="273">
        <v>4</v>
      </c>
      <c r="AR8" s="187"/>
      <c r="AS8" s="224"/>
      <c r="AT8" s="225"/>
      <c r="AU8" s="225"/>
      <c r="AV8" s="225"/>
      <c r="AX8" s="223">
        <v>0</v>
      </c>
      <c r="AY8" s="273"/>
      <c r="AZ8" s="187"/>
      <c r="BA8" s="224"/>
      <c r="BB8" s="225"/>
      <c r="BC8" s="225"/>
      <c r="BD8" s="225"/>
      <c r="BF8" s="223"/>
      <c r="BG8" s="222"/>
      <c r="BH8" s="187"/>
      <c r="BI8" s="283"/>
      <c r="BJ8" s="225"/>
      <c r="BK8" s="225"/>
      <c r="BL8" s="225"/>
      <c r="BN8" s="223">
        <f t="shared" si="0"/>
        <v>799</v>
      </c>
      <c r="BO8" s="222"/>
      <c r="BP8" s="187"/>
      <c r="BQ8" s="283"/>
      <c r="BR8" s="225"/>
      <c r="BS8" s="225"/>
      <c r="BT8" s="225"/>
    </row>
    <row r="9" spans="1:72" x14ac:dyDescent="0.25">
      <c r="A9" s="185" t="s">
        <v>82</v>
      </c>
      <c r="B9" s="223">
        <v>152</v>
      </c>
      <c r="C9" s="226"/>
      <c r="D9" s="187"/>
      <c r="E9" s="224"/>
      <c r="F9" s="225"/>
      <c r="G9" s="225"/>
      <c r="H9" s="225"/>
      <c r="J9" s="223">
        <f>145+10</f>
        <v>155</v>
      </c>
      <c r="K9" s="273">
        <v>5</v>
      </c>
      <c r="L9" s="187"/>
      <c r="M9" s="224"/>
      <c r="N9" s="225"/>
      <c r="O9" s="225"/>
      <c r="P9" s="225"/>
      <c r="R9" s="223">
        <v>120</v>
      </c>
      <c r="S9" s="273">
        <v>4</v>
      </c>
      <c r="T9" s="187"/>
      <c r="U9" s="224"/>
      <c r="V9" s="225"/>
      <c r="W9" s="225"/>
      <c r="X9" s="225"/>
      <c r="Z9" s="223">
        <v>135</v>
      </c>
      <c r="AA9" s="273">
        <v>4</v>
      </c>
      <c r="AB9" s="187"/>
      <c r="AC9" s="224"/>
      <c r="AD9" s="225"/>
      <c r="AE9" s="225"/>
      <c r="AF9" s="225"/>
      <c r="AH9" s="227">
        <f>135+5+2</f>
        <v>142</v>
      </c>
      <c r="AI9" s="273">
        <v>5</v>
      </c>
      <c r="AJ9" s="277"/>
      <c r="AK9" s="276"/>
      <c r="AL9" s="225"/>
      <c r="AM9" s="225"/>
      <c r="AN9" s="225"/>
      <c r="AP9" s="223">
        <f>4*28</f>
        <v>112</v>
      </c>
      <c r="AQ9" s="273">
        <v>4</v>
      </c>
      <c r="AR9" s="187"/>
      <c r="AS9" s="224"/>
      <c r="AT9" s="225"/>
      <c r="AU9" s="225"/>
      <c r="AV9" s="225"/>
      <c r="AX9" s="223">
        <v>0</v>
      </c>
      <c r="AY9" s="273"/>
      <c r="AZ9" s="187"/>
      <c r="BA9" s="224"/>
      <c r="BB9" s="225"/>
      <c r="BC9" s="225"/>
      <c r="BD9" s="225"/>
      <c r="BF9" s="223"/>
      <c r="BG9" s="222"/>
      <c r="BH9" s="187"/>
      <c r="BI9" s="283"/>
      <c r="BJ9" s="225"/>
      <c r="BK9" s="225"/>
      <c r="BL9" s="225"/>
      <c r="BN9" s="223">
        <f t="shared" si="0"/>
        <v>816</v>
      </c>
      <c r="BO9" s="222"/>
      <c r="BP9" s="187"/>
      <c r="BQ9" s="283"/>
      <c r="BR9" s="225"/>
      <c r="BS9" s="225"/>
      <c r="BT9" s="225"/>
    </row>
    <row r="10" spans="1:72" x14ac:dyDescent="0.25">
      <c r="A10" s="185" t="s">
        <v>83</v>
      </c>
      <c r="B10" s="223">
        <v>0</v>
      </c>
      <c r="C10" s="222"/>
      <c r="D10" s="187"/>
      <c r="E10" s="224"/>
      <c r="F10" s="225"/>
      <c r="G10" s="225"/>
      <c r="H10" s="225"/>
      <c r="J10" s="223">
        <v>300</v>
      </c>
      <c r="K10" s="273">
        <v>10</v>
      </c>
      <c r="L10" s="187"/>
      <c r="M10" s="224"/>
      <c r="N10" s="225"/>
      <c r="O10" s="225"/>
      <c r="P10" s="225"/>
      <c r="R10" s="223">
        <v>123</v>
      </c>
      <c r="S10" s="273">
        <v>4</v>
      </c>
      <c r="T10" s="187"/>
      <c r="U10" s="224"/>
      <c r="V10" s="225"/>
      <c r="W10" s="225"/>
      <c r="X10" s="225"/>
      <c r="Z10" s="223">
        <v>140</v>
      </c>
      <c r="AA10" s="273">
        <v>4</v>
      </c>
      <c r="AB10" s="187"/>
      <c r="AC10" s="224"/>
      <c r="AD10" s="225"/>
      <c r="AE10" s="225"/>
      <c r="AF10" s="225"/>
      <c r="AH10" s="227">
        <v>153</v>
      </c>
      <c r="AI10" s="273">
        <v>5</v>
      </c>
      <c r="AJ10" s="277"/>
      <c r="AK10" s="276"/>
      <c r="AL10" s="225"/>
      <c r="AM10" s="225"/>
      <c r="AN10" s="225"/>
      <c r="AP10" s="223">
        <v>96</v>
      </c>
      <c r="AQ10" s="273">
        <v>3</v>
      </c>
      <c r="AR10" s="187"/>
      <c r="AS10" s="224"/>
      <c r="AT10" s="225"/>
      <c r="AU10" s="225"/>
      <c r="AV10" s="225"/>
      <c r="AX10" s="223">
        <v>36</v>
      </c>
      <c r="AY10" s="273"/>
      <c r="AZ10" s="187"/>
      <c r="BA10" s="224"/>
      <c r="BB10" s="225"/>
      <c r="BC10" s="225"/>
      <c r="BD10" s="225"/>
      <c r="BF10" s="223"/>
      <c r="BG10" s="222"/>
      <c r="BH10" s="187"/>
      <c r="BI10" s="283"/>
      <c r="BJ10" s="225"/>
      <c r="BK10" s="225"/>
      <c r="BL10" s="225"/>
      <c r="BN10" s="223">
        <f t="shared" si="0"/>
        <v>848</v>
      </c>
      <c r="BO10" s="222"/>
      <c r="BP10" s="187"/>
      <c r="BQ10" s="283"/>
      <c r="BR10" s="225"/>
      <c r="BS10" s="225"/>
      <c r="BT10" s="225"/>
    </row>
    <row r="11" spans="1:72" x14ac:dyDescent="0.25">
      <c r="A11" s="185" t="s">
        <v>84</v>
      </c>
      <c r="B11" s="223">
        <v>0</v>
      </c>
      <c r="C11" s="222"/>
      <c r="D11" s="219"/>
      <c r="E11" s="224"/>
      <c r="F11" s="225"/>
      <c r="G11" s="225"/>
      <c r="H11" s="225"/>
      <c r="J11" s="223">
        <v>279</v>
      </c>
      <c r="K11" s="273">
        <v>9</v>
      </c>
      <c r="L11" s="219"/>
      <c r="M11" s="224"/>
      <c r="N11" s="225"/>
      <c r="O11" s="225"/>
      <c r="P11" s="225"/>
      <c r="R11" s="223">
        <v>122</v>
      </c>
      <c r="S11" s="273">
        <v>4</v>
      </c>
      <c r="T11" s="219"/>
      <c r="U11" s="224"/>
      <c r="V11" s="225"/>
      <c r="W11" s="225"/>
      <c r="X11" s="225"/>
      <c r="Z11" s="223">
        <v>143</v>
      </c>
      <c r="AA11" s="273">
        <v>4</v>
      </c>
      <c r="AB11" s="219"/>
      <c r="AC11" s="224"/>
      <c r="AD11" s="225"/>
      <c r="AE11" s="225"/>
      <c r="AF11" s="225"/>
      <c r="AH11" s="227">
        <v>153</v>
      </c>
      <c r="AI11" s="273">
        <v>5</v>
      </c>
      <c r="AJ11" s="277"/>
      <c r="AK11" s="276"/>
      <c r="AL11" s="225"/>
      <c r="AM11" s="225"/>
      <c r="AN11" s="225"/>
      <c r="AP11" s="223">
        <v>95</v>
      </c>
      <c r="AQ11" s="273">
        <v>3</v>
      </c>
      <c r="AR11" s="219"/>
      <c r="AS11" s="224"/>
      <c r="AT11" s="225"/>
      <c r="AU11" s="225"/>
      <c r="AV11" s="225"/>
      <c r="AX11" s="223">
        <v>36</v>
      </c>
      <c r="AY11" s="273"/>
      <c r="AZ11" s="219"/>
      <c r="BA11" s="224"/>
      <c r="BB11" s="225"/>
      <c r="BC11" s="225"/>
      <c r="BD11" s="225"/>
      <c r="BF11" s="223"/>
      <c r="BG11" s="222"/>
      <c r="BH11" s="219"/>
      <c r="BI11" s="283"/>
      <c r="BJ11" s="225"/>
      <c r="BK11" s="225"/>
      <c r="BL11" s="225"/>
      <c r="BN11" s="223">
        <f t="shared" si="0"/>
        <v>828</v>
      </c>
      <c r="BO11" s="222"/>
      <c r="BP11" s="219"/>
      <c r="BQ11" s="283"/>
      <c r="BR11" s="225"/>
      <c r="BS11" s="225"/>
      <c r="BT11" s="225"/>
    </row>
    <row r="12" spans="1:72" x14ac:dyDescent="0.25">
      <c r="A12" s="185" t="s">
        <v>85</v>
      </c>
      <c r="B12" s="223">
        <v>0</v>
      </c>
      <c r="C12" s="222"/>
      <c r="D12" s="187"/>
      <c r="E12" s="224"/>
      <c r="F12" s="225"/>
      <c r="G12" s="225"/>
      <c r="H12" s="225"/>
      <c r="J12" s="223">
        <v>279</v>
      </c>
      <c r="K12" s="273">
        <v>9</v>
      </c>
      <c r="L12" s="187"/>
      <c r="M12" s="224"/>
      <c r="N12" s="225"/>
      <c r="O12" s="225"/>
      <c r="P12" s="225"/>
      <c r="R12" s="223">
        <v>122</v>
      </c>
      <c r="S12" s="273">
        <v>4</v>
      </c>
      <c r="T12" s="187"/>
      <c r="U12" s="224"/>
      <c r="V12" s="225"/>
      <c r="W12" s="225"/>
      <c r="X12" s="225"/>
      <c r="Z12" s="223">
        <v>140</v>
      </c>
      <c r="AA12" s="273">
        <v>4</v>
      </c>
      <c r="AB12" s="187"/>
      <c r="AC12" s="224"/>
      <c r="AD12" s="225"/>
      <c r="AE12" s="225"/>
      <c r="AF12" s="225"/>
      <c r="AH12" s="227">
        <v>153</v>
      </c>
      <c r="AI12" s="273">
        <v>5</v>
      </c>
      <c r="AJ12" s="277"/>
      <c r="AK12" s="276"/>
      <c r="AL12" s="225"/>
      <c r="AM12" s="225"/>
      <c r="AN12" s="225"/>
      <c r="AP12" s="223">
        <v>93</v>
      </c>
      <c r="AQ12" s="273">
        <v>3</v>
      </c>
      <c r="AR12" s="187"/>
      <c r="AS12" s="224"/>
      <c r="AT12" s="225"/>
      <c r="AU12" s="225"/>
      <c r="AV12" s="225"/>
      <c r="AX12" s="223">
        <v>36</v>
      </c>
      <c r="AY12" s="273"/>
      <c r="AZ12" s="187"/>
      <c r="BA12" s="224"/>
      <c r="BB12" s="225"/>
      <c r="BC12" s="225"/>
      <c r="BD12" s="225"/>
      <c r="BF12" s="223"/>
      <c r="BG12" s="222"/>
      <c r="BH12" s="187"/>
      <c r="BI12" s="283"/>
      <c r="BJ12" s="225"/>
      <c r="BK12" s="225"/>
      <c r="BL12" s="225"/>
      <c r="BN12" s="223">
        <f t="shared" si="0"/>
        <v>823</v>
      </c>
      <c r="BO12" s="222"/>
      <c r="BP12" s="187"/>
      <c r="BQ12" s="283"/>
      <c r="BR12" s="225"/>
      <c r="BS12" s="225"/>
      <c r="BT12" s="225"/>
    </row>
    <row r="13" spans="1:72" x14ac:dyDescent="0.25">
      <c r="A13" s="185" t="s">
        <v>86</v>
      </c>
      <c r="B13" s="227">
        <v>0</v>
      </c>
      <c r="C13" s="222"/>
      <c r="D13" s="219"/>
      <c r="E13" s="224"/>
      <c r="F13" s="225"/>
      <c r="G13" s="225"/>
      <c r="H13" s="225"/>
      <c r="J13" s="227">
        <v>217</v>
      </c>
      <c r="K13" s="273">
        <v>7</v>
      </c>
      <c r="L13" s="219"/>
      <c r="M13" s="224"/>
      <c r="N13" s="225"/>
      <c r="O13" s="225"/>
      <c r="P13" s="225"/>
      <c r="R13" s="227">
        <v>0</v>
      </c>
      <c r="S13" s="273"/>
      <c r="T13" s="219"/>
      <c r="U13" s="224"/>
      <c r="V13" s="225"/>
      <c r="W13" s="225"/>
      <c r="X13" s="225"/>
      <c r="Z13" s="227">
        <v>0</v>
      </c>
      <c r="AA13" s="273"/>
      <c r="AB13" s="219"/>
      <c r="AC13" s="224"/>
      <c r="AD13" s="225"/>
      <c r="AE13" s="225"/>
      <c r="AF13" s="225"/>
      <c r="AH13" s="227">
        <v>329</v>
      </c>
      <c r="AI13" s="273">
        <v>10</v>
      </c>
      <c r="AJ13" s="277"/>
      <c r="AK13" s="276"/>
      <c r="AL13" s="225"/>
      <c r="AM13" s="225"/>
      <c r="AN13" s="225"/>
      <c r="AP13" s="227">
        <v>0</v>
      </c>
      <c r="AQ13" s="273"/>
      <c r="AR13" s="219"/>
      <c r="AS13" s="224"/>
      <c r="AT13" s="225"/>
      <c r="AU13" s="225"/>
      <c r="AV13" s="225"/>
      <c r="AX13" s="227">
        <v>25</v>
      </c>
      <c r="AY13" s="273"/>
      <c r="AZ13" s="219"/>
      <c r="BA13" s="224"/>
      <c r="BB13" s="225"/>
      <c r="BC13" s="225"/>
      <c r="BD13" s="225"/>
      <c r="BF13" s="227"/>
      <c r="BG13" s="222"/>
      <c r="BH13" s="219"/>
      <c r="BI13" s="283"/>
      <c r="BJ13" s="225"/>
      <c r="BK13" s="225"/>
      <c r="BL13" s="225"/>
      <c r="BN13" s="223">
        <f t="shared" si="0"/>
        <v>571</v>
      </c>
      <c r="BO13" s="222"/>
      <c r="BP13" s="219"/>
      <c r="BQ13" s="283"/>
      <c r="BR13" s="225"/>
      <c r="BS13" s="225"/>
      <c r="BT13" s="225"/>
    </row>
    <row r="14" spans="1:72" x14ac:dyDescent="0.25">
      <c r="A14" s="185" t="s">
        <v>87</v>
      </c>
      <c r="B14" s="227">
        <v>0</v>
      </c>
      <c r="C14" s="222"/>
      <c r="J14" s="227">
        <v>217</v>
      </c>
      <c r="K14" s="273">
        <v>7</v>
      </c>
      <c r="R14" s="227">
        <v>0</v>
      </c>
      <c r="S14" s="273"/>
      <c r="Z14" s="227">
        <v>0</v>
      </c>
      <c r="AA14" s="273"/>
      <c r="AH14" s="227">
        <v>319</v>
      </c>
      <c r="AI14" s="273">
        <v>10</v>
      </c>
      <c r="AJ14" s="277"/>
      <c r="AP14" s="227">
        <v>0</v>
      </c>
      <c r="AQ14" s="273"/>
      <c r="AX14" s="227">
        <v>24</v>
      </c>
      <c r="AY14" s="273"/>
      <c r="BF14" s="227">
        <v>0</v>
      </c>
      <c r="BG14" s="222"/>
      <c r="BN14" s="223">
        <f t="shared" si="0"/>
        <v>560</v>
      </c>
      <c r="BO14" s="222"/>
    </row>
    <row r="15" spans="1:72" x14ac:dyDescent="0.25">
      <c r="A15" s="185" t="s">
        <v>88</v>
      </c>
      <c r="B15" s="227">
        <v>0</v>
      </c>
      <c r="C15" s="222"/>
      <c r="D15" s="222"/>
      <c r="E15" s="222"/>
      <c r="F15" s="222"/>
      <c r="J15" s="227">
        <v>188</v>
      </c>
      <c r="K15" s="273">
        <v>7</v>
      </c>
      <c r="L15" s="222"/>
      <c r="M15" s="222"/>
      <c r="N15" s="222"/>
      <c r="R15" s="227">
        <v>0</v>
      </c>
      <c r="S15" s="273"/>
      <c r="T15" s="222"/>
      <c r="U15" s="222"/>
      <c r="V15" s="222"/>
      <c r="Z15" s="227">
        <v>0</v>
      </c>
      <c r="AA15" s="273"/>
      <c r="AB15" s="222"/>
      <c r="AC15" s="222"/>
      <c r="AD15" s="222"/>
      <c r="AH15" s="227">
        <v>305</v>
      </c>
      <c r="AI15" s="273">
        <v>10</v>
      </c>
      <c r="AJ15" s="277"/>
      <c r="AK15" s="222"/>
      <c r="AL15" s="222"/>
      <c r="AP15" s="227">
        <v>0</v>
      </c>
      <c r="AQ15" s="273"/>
      <c r="AR15" s="222"/>
      <c r="AS15" s="222"/>
      <c r="AT15" s="222"/>
      <c r="AX15" s="227">
        <v>15</v>
      </c>
      <c r="AY15" s="273"/>
      <c r="AZ15" s="222"/>
      <c r="BA15" s="222"/>
      <c r="BB15" s="222"/>
      <c r="BF15" s="227">
        <v>0</v>
      </c>
      <c r="BG15" s="222"/>
      <c r="BH15" s="222"/>
      <c r="BI15" s="222"/>
      <c r="BJ15" s="222"/>
      <c r="BN15" s="223">
        <f t="shared" si="0"/>
        <v>508</v>
      </c>
      <c r="BO15" s="222"/>
      <c r="BP15" s="222"/>
      <c r="BQ15" s="222"/>
      <c r="BR15" s="222"/>
    </row>
    <row r="16" spans="1:72" x14ac:dyDescent="0.25">
      <c r="A16" s="185" t="s">
        <v>89</v>
      </c>
      <c r="B16" s="227">
        <v>0</v>
      </c>
      <c r="C16" s="222"/>
      <c r="D16" s="222"/>
      <c r="E16" s="222"/>
      <c r="F16" s="222"/>
      <c r="J16" s="227">
        <v>174</v>
      </c>
      <c r="K16" s="273">
        <v>6</v>
      </c>
      <c r="L16" s="222"/>
      <c r="M16" s="222"/>
      <c r="N16" s="222"/>
      <c r="R16" s="227">
        <v>0</v>
      </c>
      <c r="S16" s="273"/>
      <c r="T16" s="222"/>
      <c r="U16" s="222"/>
      <c r="V16" s="222"/>
      <c r="Z16" s="227">
        <v>0</v>
      </c>
      <c r="AA16" s="273"/>
      <c r="AB16" s="222"/>
      <c r="AC16" s="222"/>
      <c r="AD16" s="222"/>
      <c r="AH16" s="227">
        <v>295</v>
      </c>
      <c r="AI16" s="273">
        <v>10</v>
      </c>
      <c r="AJ16" s="277"/>
      <c r="AK16" s="222"/>
      <c r="AL16" s="222"/>
      <c r="AP16" s="227">
        <v>0</v>
      </c>
      <c r="AQ16" s="273"/>
      <c r="AR16" s="222"/>
      <c r="AS16" s="222"/>
      <c r="AT16" s="222"/>
      <c r="AX16" s="227">
        <v>10</v>
      </c>
      <c r="AY16" s="273"/>
      <c r="AZ16" s="222"/>
      <c r="BA16" s="222"/>
      <c r="BB16" s="222"/>
      <c r="BF16" s="227">
        <v>0</v>
      </c>
      <c r="BG16" s="222"/>
      <c r="BH16" s="222"/>
      <c r="BI16" s="222"/>
      <c r="BJ16" s="222"/>
      <c r="BN16" s="223">
        <f t="shared" si="0"/>
        <v>479</v>
      </c>
      <c r="BO16" s="222"/>
      <c r="BP16" s="222"/>
      <c r="BQ16" s="222"/>
      <c r="BR16" s="222"/>
    </row>
    <row r="17" spans="1:72" x14ac:dyDescent="0.25">
      <c r="A17" s="186" t="s">
        <v>75</v>
      </c>
      <c r="B17" s="221">
        <f>SUM(B4:B16)</f>
        <v>927</v>
      </c>
      <c r="C17" s="226">
        <f>B17*0.025</f>
        <v>23.175000000000001</v>
      </c>
      <c r="D17" s="222"/>
      <c r="E17" s="222"/>
      <c r="F17" s="222"/>
      <c r="J17" s="221">
        <f>SUM(J4:J16)</f>
        <v>2514</v>
      </c>
      <c r="K17" s="273">
        <f>SUM(K4:K16)</f>
        <v>85</v>
      </c>
      <c r="L17" s="226">
        <f>J17*0.025</f>
        <v>62.85</v>
      </c>
      <c r="M17" s="222"/>
      <c r="N17" s="222"/>
      <c r="R17" s="221">
        <f>SUM(R4:R16)</f>
        <v>1030</v>
      </c>
      <c r="S17" s="273">
        <f>SUM(S4:S16)</f>
        <v>36</v>
      </c>
      <c r="T17" s="222"/>
      <c r="U17" s="222"/>
      <c r="V17" s="222"/>
      <c r="Z17" s="221">
        <f>SUM(Z4:Z16)</f>
        <v>1198</v>
      </c>
      <c r="AA17" s="273">
        <f>SUM(AA4:AA16)</f>
        <v>36</v>
      </c>
      <c r="AB17" s="222"/>
      <c r="AC17" s="222"/>
      <c r="AD17" s="222"/>
      <c r="AH17" s="221">
        <f>SUM(AH4:AH16)</f>
        <v>2508</v>
      </c>
      <c r="AI17" s="273">
        <f>SUM(AI4:AI16)</f>
        <v>85</v>
      </c>
      <c r="AJ17" s="222"/>
      <c r="AK17" s="222"/>
      <c r="AL17" s="222"/>
      <c r="AP17" s="221">
        <f>SUM(AP4:AP16)</f>
        <v>920</v>
      </c>
      <c r="AQ17" s="273">
        <f>SUM(AQ4:AQ16)</f>
        <v>33</v>
      </c>
      <c r="AR17" s="222"/>
      <c r="AS17" s="222"/>
      <c r="AT17" s="222"/>
      <c r="AX17" s="221">
        <f>SUM(AX4:AX16)</f>
        <v>182</v>
      </c>
      <c r="AY17" s="273">
        <f>SUM(AY4:AY16)</f>
        <v>0</v>
      </c>
      <c r="AZ17" s="222"/>
      <c r="BA17" s="222"/>
      <c r="BB17" s="222"/>
      <c r="BF17" s="221">
        <f>SUM(BF4:BF16)</f>
        <v>0</v>
      </c>
      <c r="BG17" s="222"/>
      <c r="BH17" s="222"/>
      <c r="BI17" s="222"/>
      <c r="BJ17" s="222"/>
      <c r="BN17" s="221">
        <f>SUM(BN4:BN16)</f>
        <v>9279</v>
      </c>
      <c r="BO17" s="222"/>
      <c r="BP17" s="222"/>
      <c r="BQ17" s="222"/>
      <c r="BR17" s="222"/>
    </row>
    <row r="20" spans="1:72" x14ac:dyDescent="0.25">
      <c r="A20" s="188" t="s">
        <v>173</v>
      </c>
      <c r="B20" s="228" t="s">
        <v>309</v>
      </c>
      <c r="C20" s="228" t="s">
        <v>310</v>
      </c>
      <c r="D20" s="228" t="s">
        <v>311</v>
      </c>
      <c r="E20" s="228" t="s">
        <v>312</v>
      </c>
      <c r="F20" s="228" t="s">
        <v>313</v>
      </c>
      <c r="G20" s="228" t="s">
        <v>314</v>
      </c>
      <c r="H20" s="228" t="s">
        <v>59</v>
      </c>
      <c r="J20" s="228" t="s">
        <v>309</v>
      </c>
      <c r="K20" s="228" t="s">
        <v>310</v>
      </c>
      <c r="L20" s="228" t="s">
        <v>311</v>
      </c>
      <c r="M20" s="228" t="s">
        <v>312</v>
      </c>
      <c r="N20" s="228" t="s">
        <v>313</v>
      </c>
      <c r="O20" s="228" t="s">
        <v>314</v>
      </c>
      <c r="P20" s="228" t="s">
        <v>60</v>
      </c>
      <c r="R20" s="228" t="s">
        <v>309</v>
      </c>
      <c r="S20" s="228" t="s">
        <v>310</v>
      </c>
      <c r="T20" s="228" t="s">
        <v>311</v>
      </c>
      <c r="U20" s="228" t="s">
        <v>312</v>
      </c>
      <c r="V20" s="228" t="s">
        <v>313</v>
      </c>
      <c r="W20" s="228" t="s">
        <v>314</v>
      </c>
      <c r="X20" s="228" t="s">
        <v>62</v>
      </c>
      <c r="Z20" s="228" t="s">
        <v>309</v>
      </c>
      <c r="AA20" s="228" t="s">
        <v>310</v>
      </c>
      <c r="AB20" s="228" t="s">
        <v>311</v>
      </c>
      <c r="AC20" s="228" t="s">
        <v>312</v>
      </c>
      <c r="AD20" s="228" t="s">
        <v>313</v>
      </c>
      <c r="AE20" s="228" t="s">
        <v>314</v>
      </c>
      <c r="AF20" s="228" t="s">
        <v>63</v>
      </c>
      <c r="AH20" s="228" t="s">
        <v>309</v>
      </c>
      <c r="AI20" s="228" t="s">
        <v>310</v>
      </c>
      <c r="AJ20" s="228" t="s">
        <v>311</v>
      </c>
      <c r="AK20" s="228" t="s">
        <v>312</v>
      </c>
      <c r="AL20" s="228" t="s">
        <v>313</v>
      </c>
      <c r="AM20" s="228" t="s">
        <v>314</v>
      </c>
      <c r="AN20" s="228" t="s">
        <v>316</v>
      </c>
      <c r="AP20" s="228" t="s">
        <v>309</v>
      </c>
      <c r="AQ20" s="228" t="s">
        <v>310</v>
      </c>
      <c r="AR20" s="228" t="s">
        <v>311</v>
      </c>
      <c r="AS20" s="228" t="s">
        <v>312</v>
      </c>
      <c r="AT20" s="228" t="s">
        <v>313</v>
      </c>
      <c r="AU20" s="228" t="s">
        <v>314</v>
      </c>
      <c r="AV20" s="228" t="s">
        <v>317</v>
      </c>
      <c r="AX20" s="228" t="s">
        <v>309</v>
      </c>
      <c r="AY20" s="228" t="s">
        <v>310</v>
      </c>
      <c r="AZ20" s="228" t="s">
        <v>311</v>
      </c>
      <c r="BA20" s="228" t="s">
        <v>312</v>
      </c>
      <c r="BB20" s="228" t="s">
        <v>313</v>
      </c>
      <c r="BC20" s="228" t="s">
        <v>314</v>
      </c>
      <c r="BD20" s="228" t="s">
        <v>318</v>
      </c>
      <c r="BF20" s="228" t="s">
        <v>309</v>
      </c>
      <c r="BG20" s="228" t="s">
        <v>310</v>
      </c>
      <c r="BH20" s="228" t="s">
        <v>311</v>
      </c>
      <c r="BI20" s="228" t="s">
        <v>312</v>
      </c>
      <c r="BJ20" s="228" t="s">
        <v>313</v>
      </c>
      <c r="BK20" s="228" t="s">
        <v>314</v>
      </c>
      <c r="BL20" s="228" t="str">
        <f>BF1</f>
        <v>Central</v>
      </c>
      <c r="BN20" s="228" t="s">
        <v>309</v>
      </c>
      <c r="BO20" s="228" t="s">
        <v>310</v>
      </c>
      <c r="BP20" s="228" t="s">
        <v>311</v>
      </c>
      <c r="BQ20" s="228" t="s">
        <v>312</v>
      </c>
      <c r="BR20" s="228" t="s">
        <v>313</v>
      </c>
      <c r="BS20" s="228" t="s">
        <v>314</v>
      </c>
      <c r="BT20" s="228" t="str">
        <f>BN1</f>
        <v>System</v>
      </c>
    </row>
    <row r="21" spans="1:72" x14ac:dyDescent="0.25">
      <c r="A21" s="185" t="s">
        <v>174</v>
      </c>
      <c r="B21" s="227"/>
      <c r="C21" s="227">
        <v>112</v>
      </c>
      <c r="D21" s="227"/>
      <c r="E21" s="227"/>
      <c r="F21" s="227"/>
      <c r="G21" s="227"/>
      <c r="H21" s="227">
        <f>SUM(B21:G21)</f>
        <v>112</v>
      </c>
      <c r="J21" s="227"/>
      <c r="K21" s="227">
        <v>285</v>
      </c>
      <c r="L21" s="227"/>
      <c r="M21" s="227"/>
      <c r="N21" s="227"/>
      <c r="O21" s="227"/>
      <c r="P21" s="227">
        <f>SUM(J21:O21)</f>
        <v>285</v>
      </c>
      <c r="R21" s="227"/>
      <c r="S21" s="227">
        <v>80</v>
      </c>
      <c r="T21" s="227"/>
      <c r="U21" s="227"/>
      <c r="V21" s="227"/>
      <c r="W21" s="227"/>
      <c r="X21" s="227">
        <f>SUM(R21:W21)</f>
        <v>80</v>
      </c>
      <c r="Z21" s="227"/>
      <c r="AA21" s="227">
        <v>100</v>
      </c>
      <c r="AB21" s="227"/>
      <c r="AC21" s="227"/>
      <c r="AD21" s="227"/>
      <c r="AE21" s="227"/>
      <c r="AF21" s="227">
        <f>SUM(Z21:AE21)</f>
        <v>100</v>
      </c>
      <c r="AH21" s="227"/>
      <c r="AI21" s="227">
        <v>215</v>
      </c>
      <c r="AJ21" s="227"/>
      <c r="AK21" s="227"/>
      <c r="AL21" s="227"/>
      <c r="AM21" s="227"/>
      <c r="AN21" s="227">
        <f>SUM(AH21:AM21)</f>
        <v>215</v>
      </c>
      <c r="AP21" s="227"/>
      <c r="AQ21" s="227">
        <v>108</v>
      </c>
      <c r="AR21" s="227"/>
      <c r="AS21" s="227"/>
      <c r="AT21" s="227"/>
      <c r="AU21" s="227"/>
      <c r="AV21" s="227">
        <f>SUM(AP21:AU21)</f>
        <v>108</v>
      </c>
      <c r="AX21" s="227"/>
      <c r="AY21" s="227">
        <v>21</v>
      </c>
      <c r="AZ21" s="227"/>
      <c r="BA21" s="227"/>
      <c r="BB21" s="227"/>
      <c r="BC21" s="227"/>
      <c r="BD21" s="227">
        <f>SUM(AX21:BC21)</f>
        <v>21</v>
      </c>
      <c r="BF21" s="229"/>
      <c r="BG21" s="229"/>
      <c r="BH21" s="229"/>
      <c r="BI21" s="227"/>
      <c r="BJ21" s="227"/>
      <c r="BK21" s="227"/>
      <c r="BL21" s="227">
        <f>SUM(BF21:BK21)</f>
        <v>0</v>
      </c>
      <c r="BN21" s="229">
        <f>B21+J21+R21+Z21+AH21+AP21+AX21+BF21</f>
        <v>0</v>
      </c>
      <c r="BO21" s="229">
        <f t="shared" ref="BO21:BS25" si="1">C21+K21+S21+AA21+AI21+AQ21+AY21+BG21</f>
        <v>921</v>
      </c>
      <c r="BP21" s="229">
        <f t="shared" si="1"/>
        <v>0</v>
      </c>
      <c r="BQ21" s="229">
        <f t="shared" si="1"/>
        <v>0</v>
      </c>
      <c r="BR21" s="229">
        <f t="shared" si="1"/>
        <v>0</v>
      </c>
      <c r="BS21" s="229">
        <f t="shared" si="1"/>
        <v>0</v>
      </c>
      <c r="BT21" s="227">
        <f>SUM(BN21:BS21)</f>
        <v>921</v>
      </c>
    </row>
    <row r="22" spans="1:72" x14ac:dyDescent="0.25">
      <c r="A22" s="185" t="s">
        <v>175</v>
      </c>
      <c r="B22" s="227">
        <v>35</v>
      </c>
      <c r="C22" s="227"/>
      <c r="D22" s="227"/>
      <c r="E22" s="227"/>
      <c r="F22" s="227"/>
      <c r="G22" s="227"/>
      <c r="H22" s="227">
        <f>SUM(B22:G22)</f>
        <v>35</v>
      </c>
      <c r="J22" s="227">
        <v>50</v>
      </c>
      <c r="K22" s="227"/>
      <c r="L22" s="227"/>
      <c r="M22" s="227"/>
      <c r="N22" s="227"/>
      <c r="O22" s="227"/>
      <c r="P22" s="227">
        <f>SUM(J22:O22)</f>
        <v>50</v>
      </c>
      <c r="R22" s="227">
        <v>22</v>
      </c>
      <c r="S22" s="227"/>
      <c r="T22" s="227"/>
      <c r="U22" s="227"/>
      <c r="V22" s="227"/>
      <c r="W22" s="227"/>
      <c r="X22" s="227">
        <f>SUM(R22:W22)</f>
        <v>22</v>
      </c>
      <c r="Z22" s="227">
        <v>42</v>
      </c>
      <c r="AA22" s="227"/>
      <c r="AB22" s="227"/>
      <c r="AC22" s="227"/>
      <c r="AD22" s="227"/>
      <c r="AE22" s="227"/>
      <c r="AF22" s="227">
        <f>SUM(Z22:AE22)</f>
        <v>42</v>
      </c>
      <c r="AH22" s="227">
        <v>45</v>
      </c>
      <c r="AI22" s="227"/>
      <c r="AJ22" s="227"/>
      <c r="AK22" s="227"/>
      <c r="AL22" s="227"/>
      <c r="AM22" s="227"/>
      <c r="AN22" s="227">
        <f>SUM(AH22:AM22)</f>
        <v>45</v>
      </c>
      <c r="AP22" s="227">
        <v>50</v>
      </c>
      <c r="AQ22" s="227"/>
      <c r="AR22" s="227"/>
      <c r="AS22" s="227"/>
      <c r="AT22" s="227"/>
      <c r="AU22" s="227"/>
      <c r="AV22" s="227">
        <f>SUM(AP22:AU22)</f>
        <v>50</v>
      </c>
      <c r="AX22" s="227">
        <v>2</v>
      </c>
      <c r="AY22" s="227"/>
      <c r="AZ22" s="227"/>
      <c r="BA22" s="227"/>
      <c r="BB22" s="227"/>
      <c r="BC22" s="227"/>
      <c r="BD22" s="227">
        <f>SUM(AX22:BC22)</f>
        <v>2</v>
      </c>
      <c r="BF22" s="229"/>
      <c r="BG22" s="229"/>
      <c r="BH22" s="229"/>
      <c r="BI22" s="227"/>
      <c r="BJ22" s="227"/>
      <c r="BK22" s="227"/>
      <c r="BL22" s="227">
        <f>SUM(BF22:BK22)</f>
        <v>0</v>
      </c>
      <c r="BN22" s="229">
        <f t="shared" ref="BN22:BN25" si="2">B22+J22+R22+Z22+AH22+AP22+AX22+BF22</f>
        <v>246</v>
      </c>
      <c r="BO22" s="229">
        <f t="shared" si="1"/>
        <v>0</v>
      </c>
      <c r="BP22" s="229">
        <f t="shared" si="1"/>
        <v>0</v>
      </c>
      <c r="BQ22" s="229">
        <f t="shared" si="1"/>
        <v>0</v>
      </c>
      <c r="BR22" s="229">
        <f t="shared" si="1"/>
        <v>0</v>
      </c>
      <c r="BS22" s="229">
        <f t="shared" si="1"/>
        <v>0</v>
      </c>
      <c r="BT22" s="227">
        <f>SUM(BN22:BS22)</f>
        <v>246</v>
      </c>
    </row>
    <row r="23" spans="1:72" x14ac:dyDescent="0.25">
      <c r="A23" s="185" t="s">
        <v>176</v>
      </c>
      <c r="B23" s="229">
        <v>33</v>
      </c>
      <c r="C23" s="229"/>
      <c r="D23" s="229"/>
      <c r="E23" s="229"/>
      <c r="F23" s="229"/>
      <c r="G23" s="229"/>
      <c r="H23" s="227">
        <f>SUM(B23:G23)</f>
        <v>33</v>
      </c>
      <c r="J23" s="229">
        <v>40</v>
      </c>
      <c r="K23" s="229"/>
      <c r="L23" s="229"/>
      <c r="M23" s="229"/>
      <c r="N23" s="229"/>
      <c r="O23" s="229"/>
      <c r="P23" s="227">
        <f>SUM(J23:O23)</f>
        <v>40</v>
      </c>
      <c r="R23" s="229">
        <v>67</v>
      </c>
      <c r="S23" s="229"/>
      <c r="T23" s="229"/>
      <c r="U23" s="229"/>
      <c r="V23" s="229"/>
      <c r="W23" s="229"/>
      <c r="X23" s="227">
        <f>SUM(R23:W23)</f>
        <v>67</v>
      </c>
      <c r="Z23" s="229">
        <v>56</v>
      </c>
      <c r="AA23" s="229"/>
      <c r="AB23" s="229"/>
      <c r="AC23" s="229"/>
      <c r="AD23" s="229"/>
      <c r="AE23" s="229"/>
      <c r="AF23" s="227">
        <f>SUM(Z23:AE23)</f>
        <v>56</v>
      </c>
      <c r="AH23" s="229">
        <v>89</v>
      </c>
      <c r="AI23" s="229"/>
      <c r="AJ23" s="229"/>
      <c r="AK23" s="229"/>
      <c r="AL23" s="229"/>
      <c r="AM23" s="229"/>
      <c r="AN23" s="227">
        <f>SUM(AH23:AM23)</f>
        <v>89</v>
      </c>
      <c r="AP23" s="229">
        <v>0</v>
      </c>
      <c r="AQ23" s="229"/>
      <c r="AR23" s="229"/>
      <c r="AS23" s="229"/>
      <c r="AT23" s="229"/>
      <c r="AU23" s="229"/>
      <c r="AV23" s="227">
        <f>SUM(AP23:AU23)</f>
        <v>0</v>
      </c>
      <c r="AX23" s="229">
        <v>0</v>
      </c>
      <c r="AY23" s="229"/>
      <c r="AZ23" s="229"/>
      <c r="BA23" s="229"/>
      <c r="BB23" s="229"/>
      <c r="BC23" s="229"/>
      <c r="BD23" s="227">
        <f>SUM(AX23:BC23)</f>
        <v>0</v>
      </c>
      <c r="BF23" s="229"/>
      <c r="BG23" s="229"/>
      <c r="BH23" s="229"/>
      <c r="BI23" s="229"/>
      <c r="BJ23" s="229"/>
      <c r="BK23" s="229"/>
      <c r="BL23" s="227">
        <f>SUM(BF23:BK23)</f>
        <v>0</v>
      </c>
      <c r="BN23" s="229">
        <f t="shared" si="2"/>
        <v>285</v>
      </c>
      <c r="BO23" s="229">
        <f t="shared" si="1"/>
        <v>0</v>
      </c>
      <c r="BP23" s="229">
        <f t="shared" si="1"/>
        <v>0</v>
      </c>
      <c r="BQ23" s="229">
        <f t="shared" si="1"/>
        <v>0</v>
      </c>
      <c r="BR23" s="229">
        <f t="shared" si="1"/>
        <v>0</v>
      </c>
      <c r="BS23" s="229">
        <f t="shared" si="1"/>
        <v>0</v>
      </c>
      <c r="BT23" s="227">
        <f>SUM(BN23:BS23)</f>
        <v>285</v>
      </c>
    </row>
    <row r="24" spans="1:72" x14ac:dyDescent="0.25">
      <c r="A24" s="185" t="s">
        <v>177</v>
      </c>
      <c r="B24" s="229">
        <v>20</v>
      </c>
      <c r="C24" s="229"/>
      <c r="D24" s="229"/>
      <c r="E24" s="229"/>
      <c r="F24" s="229"/>
      <c r="G24" s="229"/>
      <c r="H24" s="227">
        <f>SUM(B24:G24)</f>
        <v>20</v>
      </c>
      <c r="J24" s="229">
        <f>55+60</f>
        <v>115</v>
      </c>
      <c r="K24" s="229"/>
      <c r="L24" s="229"/>
      <c r="M24" s="229"/>
      <c r="N24" s="229"/>
      <c r="O24" s="229"/>
      <c r="P24" s="227">
        <f>SUM(J24:O24)</f>
        <v>115</v>
      </c>
      <c r="R24" s="229">
        <v>8</v>
      </c>
      <c r="S24" s="229"/>
      <c r="T24" s="229"/>
      <c r="U24" s="229"/>
      <c r="V24" s="229"/>
      <c r="W24" s="229"/>
      <c r="X24" s="227">
        <f>SUM(R24:W24)</f>
        <v>8</v>
      </c>
      <c r="Z24" s="229">
        <v>0</v>
      </c>
      <c r="AA24" s="229"/>
      <c r="AB24" s="229"/>
      <c r="AC24" s="229"/>
      <c r="AD24" s="229"/>
      <c r="AE24" s="229"/>
      <c r="AF24" s="227">
        <f>SUM(Z24:AE24)</f>
        <v>0</v>
      </c>
      <c r="AH24" s="229">
        <f>45+35</f>
        <v>80</v>
      </c>
      <c r="AI24" s="229"/>
      <c r="AJ24" s="229"/>
      <c r="AK24" s="229"/>
      <c r="AL24" s="229"/>
      <c r="AM24" s="229"/>
      <c r="AN24" s="227">
        <f>SUM(AH24:AM24)</f>
        <v>80</v>
      </c>
      <c r="AP24" s="229">
        <v>85</v>
      </c>
      <c r="AQ24" s="229"/>
      <c r="AR24" s="229"/>
      <c r="AS24" s="229"/>
      <c r="AT24" s="229"/>
      <c r="AU24" s="229"/>
      <c r="AV24" s="227">
        <f>SUM(AP24:AU24)</f>
        <v>85</v>
      </c>
      <c r="AX24" s="229">
        <v>15</v>
      </c>
      <c r="AY24" s="229"/>
      <c r="AZ24" s="229"/>
      <c r="BA24" s="229"/>
      <c r="BB24" s="229"/>
      <c r="BC24" s="229"/>
      <c r="BD24" s="227">
        <f>SUM(AX24:BC24)</f>
        <v>15</v>
      </c>
      <c r="BF24" s="229"/>
      <c r="BG24" s="229"/>
      <c r="BH24" s="229"/>
      <c r="BI24" s="229"/>
      <c r="BJ24" s="229"/>
      <c r="BK24" s="229"/>
      <c r="BL24" s="227">
        <f>SUM(BF24:BK24)</f>
        <v>0</v>
      </c>
      <c r="BN24" s="229">
        <f t="shared" si="2"/>
        <v>323</v>
      </c>
      <c r="BO24" s="229">
        <f t="shared" si="1"/>
        <v>0</v>
      </c>
      <c r="BP24" s="229">
        <f t="shared" si="1"/>
        <v>0</v>
      </c>
      <c r="BQ24" s="229">
        <f t="shared" si="1"/>
        <v>0</v>
      </c>
      <c r="BR24" s="229">
        <f t="shared" si="1"/>
        <v>0</v>
      </c>
      <c r="BS24" s="229">
        <f t="shared" si="1"/>
        <v>0</v>
      </c>
      <c r="BT24" s="227">
        <f>SUM(BN24:BS24)</f>
        <v>323</v>
      </c>
    </row>
    <row r="25" spans="1:72" x14ac:dyDescent="0.25">
      <c r="A25" s="185" t="s">
        <v>178</v>
      </c>
      <c r="B25" s="230"/>
      <c r="C25" s="230"/>
      <c r="D25" s="231">
        <v>0.2828</v>
      </c>
      <c r="E25" s="231"/>
      <c r="F25" s="231"/>
      <c r="G25" s="231"/>
      <c r="H25" s="230">
        <v>0.06</v>
      </c>
      <c r="J25" s="230"/>
      <c r="K25" s="230"/>
      <c r="L25" s="231">
        <v>0.2828</v>
      </c>
      <c r="M25" s="231"/>
      <c r="N25" s="231"/>
      <c r="O25" s="231"/>
      <c r="P25" s="230">
        <f>L25</f>
        <v>0.2828</v>
      </c>
      <c r="R25" s="230"/>
      <c r="S25" s="230"/>
      <c r="T25" s="231">
        <v>0.2828</v>
      </c>
      <c r="U25" s="231"/>
      <c r="V25" s="231"/>
      <c r="W25" s="231"/>
      <c r="X25" s="230">
        <f>T25</f>
        <v>0.2828</v>
      </c>
      <c r="Z25" s="230"/>
      <c r="AA25" s="230"/>
      <c r="AB25" s="231">
        <v>0.2455</v>
      </c>
      <c r="AC25" s="231"/>
      <c r="AD25" s="231"/>
      <c r="AE25" s="231"/>
      <c r="AF25" s="230">
        <f>AB25</f>
        <v>0.2455</v>
      </c>
      <c r="AH25" s="230"/>
      <c r="AI25" s="230"/>
      <c r="AJ25" s="231">
        <v>0.1958</v>
      </c>
      <c r="AK25" s="231"/>
      <c r="AL25" s="231"/>
      <c r="AM25" s="231"/>
      <c r="AN25" s="230">
        <f>AJ25</f>
        <v>0.1958</v>
      </c>
      <c r="AP25" s="230"/>
      <c r="AQ25" s="230"/>
      <c r="AR25" s="231">
        <v>1</v>
      </c>
      <c r="AS25" s="231"/>
      <c r="AT25" s="231"/>
      <c r="AU25" s="231"/>
      <c r="AV25" s="230">
        <f>AR25</f>
        <v>1</v>
      </c>
      <c r="AX25" s="230"/>
      <c r="AY25" s="230"/>
      <c r="AZ25" s="231">
        <v>0.37409999999999999</v>
      </c>
      <c r="BA25" s="231"/>
      <c r="BB25" s="231"/>
      <c r="BC25" s="231"/>
      <c r="BD25" s="230">
        <f>AZ25</f>
        <v>0.37409999999999999</v>
      </c>
      <c r="BF25" s="230"/>
      <c r="BG25" s="230"/>
      <c r="BH25" s="231"/>
      <c r="BI25" s="231"/>
      <c r="BJ25" s="231"/>
      <c r="BK25" s="231"/>
      <c r="BL25" s="230"/>
      <c r="BN25" s="229">
        <f t="shared" si="2"/>
        <v>0</v>
      </c>
      <c r="BO25" s="229">
        <f t="shared" si="1"/>
        <v>0</v>
      </c>
      <c r="BP25" s="229"/>
      <c r="BQ25" s="229">
        <f t="shared" si="1"/>
        <v>0</v>
      </c>
      <c r="BR25" s="229">
        <f t="shared" si="1"/>
        <v>0</v>
      </c>
      <c r="BS25" s="229">
        <f t="shared" si="1"/>
        <v>0</v>
      </c>
      <c r="BT25" s="230"/>
    </row>
    <row r="26" spans="1:72" x14ac:dyDescent="0.25">
      <c r="A26" s="189" t="s">
        <v>179</v>
      </c>
      <c r="B26" s="228" t="s">
        <v>309</v>
      </c>
      <c r="C26" s="228" t="s">
        <v>310</v>
      </c>
      <c r="D26" s="228" t="s">
        <v>311</v>
      </c>
      <c r="E26" s="228" t="str">
        <f>E20</f>
        <v>Other</v>
      </c>
      <c r="F26" s="228" t="s">
        <v>313</v>
      </c>
      <c r="G26" s="228" t="s">
        <v>314</v>
      </c>
      <c r="H26" s="228" t="s">
        <v>59</v>
      </c>
      <c r="J26" s="228" t="s">
        <v>309</v>
      </c>
      <c r="K26" s="228" t="s">
        <v>310</v>
      </c>
      <c r="L26" s="228" t="s">
        <v>311</v>
      </c>
      <c r="M26" s="228" t="str">
        <f>M20</f>
        <v>Other</v>
      </c>
      <c r="N26" s="228" t="s">
        <v>313</v>
      </c>
      <c r="O26" s="228" t="s">
        <v>314</v>
      </c>
      <c r="P26" s="228" t="str">
        <f>P20</f>
        <v>Cadence</v>
      </c>
      <c r="R26" s="228" t="s">
        <v>309</v>
      </c>
      <c r="S26" s="228" t="s">
        <v>310</v>
      </c>
      <c r="T26" s="228" t="s">
        <v>311</v>
      </c>
      <c r="U26" s="228" t="str">
        <f>U20</f>
        <v>Other</v>
      </c>
      <c r="V26" s="228" t="s">
        <v>313</v>
      </c>
      <c r="W26" s="228" t="s">
        <v>314</v>
      </c>
      <c r="X26" s="228" t="str">
        <f>X20</f>
        <v>St. Rose</v>
      </c>
      <c r="Z26" s="228" t="s">
        <v>309</v>
      </c>
      <c r="AA26" s="228" t="s">
        <v>310</v>
      </c>
      <c r="AB26" s="228" t="s">
        <v>311</v>
      </c>
      <c r="AC26" s="228" t="str">
        <f>AC20</f>
        <v>Other</v>
      </c>
      <c r="AD26" s="228" t="s">
        <v>313</v>
      </c>
      <c r="AE26" s="228" t="s">
        <v>314</v>
      </c>
      <c r="AF26" s="228" t="str">
        <f>AF20</f>
        <v>Inspirada</v>
      </c>
      <c r="AH26" s="228" t="s">
        <v>309</v>
      </c>
      <c r="AI26" s="228" t="s">
        <v>310</v>
      </c>
      <c r="AJ26" s="228" t="s">
        <v>311</v>
      </c>
      <c r="AK26" s="228" t="str">
        <f>AK20</f>
        <v>Other</v>
      </c>
      <c r="AL26" s="228" t="s">
        <v>313</v>
      </c>
      <c r="AM26" s="228" t="s">
        <v>314</v>
      </c>
      <c r="AN26" s="228" t="str">
        <f>AN20</f>
        <v>Sloan</v>
      </c>
      <c r="AP26" s="228" t="s">
        <v>309</v>
      </c>
      <c r="AQ26" s="228" t="s">
        <v>310</v>
      </c>
      <c r="AR26" s="228" t="s">
        <v>311</v>
      </c>
      <c r="AS26" s="228" t="str">
        <f>AS20</f>
        <v>Other</v>
      </c>
      <c r="AT26" s="228" t="s">
        <v>313</v>
      </c>
      <c r="AU26" s="228" t="s">
        <v>314</v>
      </c>
      <c r="AV26" s="228" t="str">
        <f>AV20</f>
        <v>Springs</v>
      </c>
      <c r="AX26" s="228" t="s">
        <v>309</v>
      </c>
      <c r="AY26" s="228" t="s">
        <v>310</v>
      </c>
      <c r="AZ26" s="228" t="s">
        <v>311</v>
      </c>
      <c r="BA26" s="228" t="str">
        <f>BA20</f>
        <v>Other</v>
      </c>
      <c r="BB26" s="228" t="s">
        <v>313</v>
      </c>
      <c r="BC26" s="228" t="s">
        <v>314</v>
      </c>
      <c r="BD26" s="228" t="str">
        <f>BD20</f>
        <v>Virtual</v>
      </c>
      <c r="BF26" s="228" t="s">
        <v>309</v>
      </c>
      <c r="BG26" s="228" t="s">
        <v>310</v>
      </c>
      <c r="BH26" s="228" t="s">
        <v>311</v>
      </c>
      <c r="BI26" s="228" t="str">
        <f>BI20</f>
        <v>Other</v>
      </c>
      <c r="BJ26" s="228" t="s">
        <v>313</v>
      </c>
      <c r="BK26" s="228" t="s">
        <v>314</v>
      </c>
      <c r="BL26" s="228" t="str">
        <f>BL20</f>
        <v>Central</v>
      </c>
      <c r="BN26" s="228" t="s">
        <v>309</v>
      </c>
      <c r="BO26" s="228" t="s">
        <v>310</v>
      </c>
      <c r="BP26" s="228" t="s">
        <v>311</v>
      </c>
      <c r="BQ26" s="228" t="str">
        <f>BQ20</f>
        <v>Other</v>
      </c>
      <c r="BR26" s="228" t="s">
        <v>313</v>
      </c>
      <c r="BS26" s="228" t="s">
        <v>314</v>
      </c>
      <c r="BT26" s="228" t="str">
        <f>BT20</f>
        <v>System</v>
      </c>
    </row>
    <row r="27" spans="1:72" x14ac:dyDescent="0.25">
      <c r="A27" s="190" t="s">
        <v>180</v>
      </c>
      <c r="B27" s="232">
        <v>36</v>
      </c>
      <c r="C27" s="232"/>
      <c r="D27" s="232"/>
      <c r="E27" s="232"/>
      <c r="F27" s="232"/>
      <c r="G27" s="232"/>
      <c r="H27" s="232">
        <f t="shared" ref="H27:H35" si="3">SUM(B27:G27)</f>
        <v>36</v>
      </c>
      <c r="J27" s="232">
        <v>85</v>
      </c>
      <c r="K27" s="232"/>
      <c r="L27" s="232"/>
      <c r="M27" s="232"/>
      <c r="N27" s="232"/>
      <c r="O27" s="232"/>
      <c r="P27" s="232">
        <f t="shared" ref="P27:P35" si="4">SUM(J27:O27)</f>
        <v>85</v>
      </c>
      <c r="R27" s="232">
        <v>36</v>
      </c>
      <c r="S27" s="232"/>
      <c r="T27" s="232"/>
      <c r="U27" s="232"/>
      <c r="V27" s="232"/>
      <c r="W27" s="232"/>
      <c r="X27" s="232">
        <f t="shared" ref="X27:X35" si="5">SUM(R27:W27)</f>
        <v>36</v>
      </c>
      <c r="Z27" s="232">
        <v>46</v>
      </c>
      <c r="AA27" s="232"/>
      <c r="AB27" s="232"/>
      <c r="AC27" s="232"/>
      <c r="AD27" s="232"/>
      <c r="AE27" s="232"/>
      <c r="AF27" s="232">
        <f t="shared" ref="AF27:AF35" si="6">SUM(Z27:AE27)</f>
        <v>46</v>
      </c>
      <c r="AH27" s="232">
        <v>85</v>
      </c>
      <c r="AI27" s="232"/>
      <c r="AJ27" s="232"/>
      <c r="AK27" s="232"/>
      <c r="AL27" s="232"/>
      <c r="AM27" s="232"/>
      <c r="AN27" s="232">
        <f t="shared" ref="AN27:AN35" si="7">SUM(AH27:AM27)</f>
        <v>85</v>
      </c>
      <c r="AP27" s="232">
        <v>33</v>
      </c>
      <c r="AQ27" s="232"/>
      <c r="AR27" s="232"/>
      <c r="AS27" s="232"/>
      <c r="AT27" s="232"/>
      <c r="AU27" s="232"/>
      <c r="AV27" s="232">
        <f t="shared" ref="AV27:AV35" si="8">SUM(AP27:AU27)</f>
        <v>33</v>
      </c>
      <c r="AX27" s="232">
        <v>0</v>
      </c>
      <c r="AY27" s="232"/>
      <c r="AZ27" s="232"/>
      <c r="BA27" s="232"/>
      <c r="BB27" s="232"/>
      <c r="BC27" s="232"/>
      <c r="BD27" s="232">
        <f t="shared" ref="BD27:BD35" si="9">SUM(AX27:BC27)</f>
        <v>0</v>
      </c>
      <c r="BF27" s="232"/>
      <c r="BG27" s="232"/>
      <c r="BH27" s="232"/>
      <c r="BI27" s="232"/>
      <c r="BJ27" s="232"/>
      <c r="BK27" s="232"/>
      <c r="BL27" s="232">
        <f t="shared" ref="BL27:BL35" si="10">SUM(BF27:BK27)</f>
        <v>0</v>
      </c>
      <c r="BN27" s="229">
        <f>B27+J27+R27+Z27+AH27+AP27+AX27+BF27</f>
        <v>321</v>
      </c>
      <c r="BO27" s="229">
        <f t="shared" ref="BO27:BS35" si="11">C27+K27+S27+AA27+AI27+AQ27+AY27+BG27</f>
        <v>0</v>
      </c>
      <c r="BP27" s="229">
        <f t="shared" si="11"/>
        <v>0</v>
      </c>
      <c r="BQ27" s="229">
        <f t="shared" si="11"/>
        <v>0</v>
      </c>
      <c r="BR27" s="229">
        <f t="shared" si="11"/>
        <v>0</v>
      </c>
      <c r="BS27" s="229">
        <f t="shared" si="11"/>
        <v>0</v>
      </c>
      <c r="BT27" s="232">
        <f t="shared" ref="BT27:BT35" si="12">SUM(BN27:BS27)</f>
        <v>321</v>
      </c>
    </row>
    <row r="28" spans="1:72" x14ac:dyDescent="0.25">
      <c r="A28" s="190" t="s">
        <v>181</v>
      </c>
      <c r="B28" s="233">
        <v>0</v>
      </c>
      <c r="C28" s="233">
        <v>5</v>
      </c>
      <c r="D28" s="233"/>
      <c r="E28" s="233"/>
      <c r="F28" s="233"/>
      <c r="G28" s="233"/>
      <c r="H28" s="232">
        <f t="shared" si="3"/>
        <v>5</v>
      </c>
      <c r="J28" s="233"/>
      <c r="K28" s="233">
        <v>13</v>
      </c>
      <c r="L28" s="233"/>
      <c r="M28" s="233"/>
      <c r="N28" s="233"/>
      <c r="O28" s="233"/>
      <c r="P28" s="232">
        <f t="shared" si="4"/>
        <v>13</v>
      </c>
      <c r="R28" s="233">
        <v>0</v>
      </c>
      <c r="S28" s="233">
        <v>4</v>
      </c>
      <c r="T28" s="233"/>
      <c r="U28" s="233"/>
      <c r="V28" s="233"/>
      <c r="W28" s="233"/>
      <c r="X28" s="232">
        <f t="shared" si="5"/>
        <v>4</v>
      </c>
      <c r="Z28" s="233">
        <v>0</v>
      </c>
      <c r="AA28" s="233">
        <v>5</v>
      </c>
      <c r="AB28" s="233"/>
      <c r="AC28" s="233"/>
      <c r="AD28" s="233"/>
      <c r="AE28" s="233"/>
      <c r="AF28" s="232">
        <f t="shared" si="6"/>
        <v>5</v>
      </c>
      <c r="AH28" s="233">
        <v>0</v>
      </c>
      <c r="AI28" s="233">
        <v>13</v>
      </c>
      <c r="AJ28" s="233"/>
      <c r="AK28" s="233"/>
      <c r="AL28" s="233"/>
      <c r="AM28" s="233"/>
      <c r="AN28" s="232">
        <f t="shared" si="7"/>
        <v>13</v>
      </c>
      <c r="AP28" s="233">
        <v>0</v>
      </c>
      <c r="AQ28" s="233">
        <v>4</v>
      </c>
      <c r="AR28" s="233"/>
      <c r="AS28" s="233"/>
      <c r="AT28" s="233"/>
      <c r="AU28" s="233"/>
      <c r="AV28" s="232">
        <f t="shared" si="8"/>
        <v>4</v>
      </c>
      <c r="AX28" s="233">
        <v>0</v>
      </c>
      <c r="AY28" s="233">
        <v>1</v>
      </c>
      <c r="AZ28" s="233"/>
      <c r="BA28" s="233"/>
      <c r="BB28" s="233"/>
      <c r="BC28" s="233"/>
      <c r="BD28" s="232">
        <f t="shared" si="9"/>
        <v>1</v>
      </c>
      <c r="BF28" s="233"/>
      <c r="BG28" s="233"/>
      <c r="BH28" s="233"/>
      <c r="BI28" s="233"/>
      <c r="BJ28" s="233"/>
      <c r="BK28" s="233"/>
      <c r="BL28" s="232">
        <f t="shared" si="10"/>
        <v>0</v>
      </c>
      <c r="BN28" s="229">
        <f t="shared" ref="BN28:BN35" si="13">B28+J28+R28+Z28+AH28+AP28+AX28+BF28</f>
        <v>0</v>
      </c>
      <c r="BO28" s="229">
        <f t="shared" si="11"/>
        <v>45</v>
      </c>
      <c r="BP28" s="229">
        <f t="shared" si="11"/>
        <v>0</v>
      </c>
      <c r="BQ28" s="229">
        <f t="shared" si="11"/>
        <v>0</v>
      </c>
      <c r="BR28" s="229">
        <f t="shared" si="11"/>
        <v>0</v>
      </c>
      <c r="BS28" s="229">
        <f t="shared" si="11"/>
        <v>0</v>
      </c>
      <c r="BT28" s="232">
        <f t="shared" si="12"/>
        <v>45</v>
      </c>
    </row>
    <row r="29" spans="1:72" x14ac:dyDescent="0.25">
      <c r="A29" s="190" t="s">
        <v>182</v>
      </c>
      <c r="B29" s="232">
        <v>1</v>
      </c>
      <c r="C29" s="232"/>
      <c r="D29" s="232"/>
      <c r="E29" s="232"/>
      <c r="F29" s="232"/>
      <c r="G29" s="232"/>
      <c r="H29" s="232">
        <f t="shared" si="3"/>
        <v>1</v>
      </c>
      <c r="J29" s="232">
        <v>2</v>
      </c>
      <c r="K29" s="232"/>
      <c r="L29" s="232"/>
      <c r="M29" s="232"/>
      <c r="N29" s="232"/>
      <c r="O29" s="232"/>
      <c r="P29" s="232">
        <f t="shared" si="4"/>
        <v>2</v>
      </c>
      <c r="R29" s="232">
        <v>1</v>
      </c>
      <c r="S29" s="232"/>
      <c r="T29" s="232"/>
      <c r="U29" s="232"/>
      <c r="V29" s="232"/>
      <c r="W29" s="232"/>
      <c r="X29" s="232">
        <f t="shared" si="5"/>
        <v>1</v>
      </c>
      <c r="Z29" s="232">
        <v>1</v>
      </c>
      <c r="AA29" s="232"/>
      <c r="AB29" s="232"/>
      <c r="AC29" s="232"/>
      <c r="AD29" s="232"/>
      <c r="AE29" s="232"/>
      <c r="AF29" s="232">
        <f t="shared" si="6"/>
        <v>1</v>
      </c>
      <c r="AH29" s="232">
        <v>2</v>
      </c>
      <c r="AI29" s="232"/>
      <c r="AJ29" s="232"/>
      <c r="AK29" s="232"/>
      <c r="AL29" s="232"/>
      <c r="AM29" s="232"/>
      <c r="AN29" s="232">
        <f t="shared" si="7"/>
        <v>2</v>
      </c>
      <c r="AP29" s="232">
        <v>1</v>
      </c>
      <c r="AQ29" s="232"/>
      <c r="AR29" s="232"/>
      <c r="AS29" s="232"/>
      <c r="AT29" s="232"/>
      <c r="AU29" s="232"/>
      <c r="AV29" s="232">
        <f t="shared" si="8"/>
        <v>1</v>
      </c>
      <c r="AX29" s="232">
        <v>0</v>
      </c>
      <c r="AY29" s="232"/>
      <c r="AZ29" s="232"/>
      <c r="BA29" s="232"/>
      <c r="BB29" s="232"/>
      <c r="BC29" s="232"/>
      <c r="BD29" s="232">
        <f t="shared" si="9"/>
        <v>0</v>
      </c>
      <c r="BF29" s="232"/>
      <c r="BG29" s="232"/>
      <c r="BH29" s="232"/>
      <c r="BI29" s="232"/>
      <c r="BJ29" s="232"/>
      <c r="BK29" s="232"/>
      <c r="BL29" s="232">
        <f t="shared" si="10"/>
        <v>0</v>
      </c>
      <c r="BN29" s="229">
        <f t="shared" si="13"/>
        <v>8</v>
      </c>
      <c r="BO29" s="229">
        <f t="shared" si="11"/>
        <v>0</v>
      </c>
      <c r="BP29" s="229">
        <f t="shared" si="11"/>
        <v>0</v>
      </c>
      <c r="BQ29" s="229">
        <f t="shared" si="11"/>
        <v>0</v>
      </c>
      <c r="BR29" s="229">
        <f t="shared" si="11"/>
        <v>0</v>
      </c>
      <c r="BS29" s="229">
        <f t="shared" si="11"/>
        <v>0</v>
      </c>
      <c r="BT29" s="232">
        <f t="shared" si="12"/>
        <v>8</v>
      </c>
    </row>
    <row r="30" spans="1:72" x14ac:dyDescent="0.25">
      <c r="A30" s="190" t="s">
        <v>183</v>
      </c>
      <c r="B30" s="232">
        <v>1</v>
      </c>
      <c r="C30" s="232"/>
      <c r="D30" s="232"/>
      <c r="E30" s="232"/>
      <c r="F30" s="232"/>
      <c r="G30" s="232"/>
      <c r="H30" s="232">
        <f t="shared" si="3"/>
        <v>1</v>
      </c>
      <c r="J30" s="232">
        <v>2</v>
      </c>
      <c r="K30" s="232"/>
      <c r="L30" s="232"/>
      <c r="M30" s="232"/>
      <c r="N30" s="232"/>
      <c r="O30" s="232"/>
      <c r="P30" s="232">
        <f t="shared" si="4"/>
        <v>2</v>
      </c>
      <c r="R30" s="232">
        <v>1</v>
      </c>
      <c r="S30" s="232"/>
      <c r="T30" s="232"/>
      <c r="U30" s="232"/>
      <c r="V30" s="232"/>
      <c r="W30" s="232"/>
      <c r="X30" s="232">
        <f t="shared" si="5"/>
        <v>1</v>
      </c>
      <c r="Z30" s="232">
        <v>1</v>
      </c>
      <c r="AA30" s="232"/>
      <c r="AB30" s="232"/>
      <c r="AC30" s="232"/>
      <c r="AD30" s="232"/>
      <c r="AE30" s="232"/>
      <c r="AF30" s="232">
        <f t="shared" si="6"/>
        <v>1</v>
      </c>
      <c r="AH30" s="232">
        <v>3</v>
      </c>
      <c r="AI30" s="232"/>
      <c r="AJ30" s="232"/>
      <c r="AK30" s="232"/>
      <c r="AL30" s="232"/>
      <c r="AM30" s="232"/>
      <c r="AN30" s="232">
        <f t="shared" si="7"/>
        <v>3</v>
      </c>
      <c r="AP30" s="232">
        <v>1</v>
      </c>
      <c r="AQ30" s="232"/>
      <c r="AR30" s="232"/>
      <c r="AS30" s="232"/>
      <c r="AT30" s="232"/>
      <c r="AU30" s="232"/>
      <c r="AV30" s="232">
        <f t="shared" si="8"/>
        <v>1</v>
      </c>
      <c r="AX30" s="232">
        <v>0</v>
      </c>
      <c r="AY30" s="232"/>
      <c r="AZ30" s="232"/>
      <c r="BA30" s="232"/>
      <c r="BB30" s="232"/>
      <c r="BC30" s="232"/>
      <c r="BD30" s="232">
        <f t="shared" si="9"/>
        <v>0</v>
      </c>
      <c r="BF30" s="232">
        <v>1</v>
      </c>
      <c r="BG30" s="232"/>
      <c r="BH30" s="232"/>
      <c r="BI30" s="232"/>
      <c r="BJ30" s="232"/>
      <c r="BK30" s="232"/>
      <c r="BL30" s="232">
        <f t="shared" si="10"/>
        <v>1</v>
      </c>
      <c r="BN30" s="229">
        <f t="shared" si="13"/>
        <v>10</v>
      </c>
      <c r="BO30" s="229">
        <f t="shared" si="11"/>
        <v>0</v>
      </c>
      <c r="BP30" s="229">
        <f t="shared" si="11"/>
        <v>0</v>
      </c>
      <c r="BQ30" s="229">
        <f t="shared" si="11"/>
        <v>0</v>
      </c>
      <c r="BR30" s="229">
        <f t="shared" si="11"/>
        <v>0</v>
      </c>
      <c r="BS30" s="229">
        <f t="shared" si="11"/>
        <v>0</v>
      </c>
      <c r="BT30" s="232">
        <f t="shared" si="12"/>
        <v>10</v>
      </c>
    </row>
    <row r="31" spans="1:72" x14ac:dyDescent="0.25">
      <c r="A31" s="190" t="s">
        <v>184</v>
      </c>
      <c r="B31" s="232">
        <v>1</v>
      </c>
      <c r="C31" s="232"/>
      <c r="D31" s="232"/>
      <c r="E31" s="232"/>
      <c r="F31" s="232"/>
      <c r="G31" s="232"/>
      <c r="H31" s="232">
        <f t="shared" si="3"/>
        <v>1</v>
      </c>
      <c r="J31" s="232">
        <v>3</v>
      </c>
      <c r="K31" s="232"/>
      <c r="L31" s="232"/>
      <c r="M31" s="232"/>
      <c r="N31" s="232"/>
      <c r="O31" s="232"/>
      <c r="P31" s="232">
        <f t="shared" si="4"/>
        <v>3</v>
      </c>
      <c r="R31" s="232">
        <v>1</v>
      </c>
      <c r="S31" s="232"/>
      <c r="T31" s="232"/>
      <c r="U31" s="232"/>
      <c r="V31" s="232"/>
      <c r="W31" s="232"/>
      <c r="X31" s="232">
        <f t="shared" si="5"/>
        <v>1</v>
      </c>
      <c r="Z31" s="232">
        <v>1</v>
      </c>
      <c r="AA31" s="232"/>
      <c r="AB31" s="232"/>
      <c r="AC31" s="232"/>
      <c r="AD31" s="232"/>
      <c r="AE31" s="232"/>
      <c r="AF31" s="232">
        <f t="shared" si="6"/>
        <v>1</v>
      </c>
      <c r="AH31" s="232">
        <v>3</v>
      </c>
      <c r="AI31" s="232"/>
      <c r="AJ31" s="232"/>
      <c r="AK31" s="232"/>
      <c r="AL31" s="232"/>
      <c r="AM31" s="232"/>
      <c r="AN31" s="232">
        <f t="shared" si="7"/>
        <v>3</v>
      </c>
      <c r="AP31" s="232">
        <v>1</v>
      </c>
      <c r="AQ31" s="232"/>
      <c r="AR31" s="232"/>
      <c r="AS31" s="232"/>
      <c r="AT31" s="232"/>
      <c r="AU31" s="232"/>
      <c r="AV31" s="232">
        <f t="shared" si="8"/>
        <v>1</v>
      </c>
      <c r="AX31" s="232">
        <v>0</v>
      </c>
      <c r="AY31" s="232"/>
      <c r="AZ31" s="232"/>
      <c r="BA31" s="232"/>
      <c r="BB31" s="232"/>
      <c r="BC31" s="232"/>
      <c r="BD31" s="232">
        <f t="shared" si="9"/>
        <v>0</v>
      </c>
      <c r="BF31" s="232"/>
      <c r="BG31" s="232"/>
      <c r="BH31" s="232"/>
      <c r="BI31" s="232"/>
      <c r="BJ31" s="232"/>
      <c r="BK31" s="232"/>
      <c r="BL31" s="232">
        <f t="shared" si="10"/>
        <v>0</v>
      </c>
      <c r="BN31" s="229">
        <f t="shared" si="13"/>
        <v>10</v>
      </c>
      <c r="BO31" s="229">
        <f t="shared" si="11"/>
        <v>0</v>
      </c>
      <c r="BP31" s="229">
        <f t="shared" si="11"/>
        <v>0</v>
      </c>
      <c r="BQ31" s="229">
        <f t="shared" si="11"/>
        <v>0</v>
      </c>
      <c r="BR31" s="229">
        <f t="shared" si="11"/>
        <v>0</v>
      </c>
      <c r="BS31" s="229">
        <f t="shared" si="11"/>
        <v>0</v>
      </c>
      <c r="BT31" s="232">
        <f t="shared" si="12"/>
        <v>10</v>
      </c>
    </row>
    <row r="32" spans="1:72" x14ac:dyDescent="0.25">
      <c r="A32" s="191" t="s">
        <v>185</v>
      </c>
      <c r="B32" s="232">
        <v>1</v>
      </c>
      <c r="C32" s="232"/>
      <c r="D32" s="232"/>
      <c r="E32" s="232"/>
      <c r="F32" s="232"/>
      <c r="G32" s="232"/>
      <c r="H32" s="232">
        <f t="shared" si="3"/>
        <v>1</v>
      </c>
      <c r="J32" s="232">
        <v>3</v>
      </c>
      <c r="K32" s="232"/>
      <c r="L32" s="232"/>
      <c r="M32" s="232"/>
      <c r="N32" s="232"/>
      <c r="O32" s="232"/>
      <c r="P32" s="232">
        <f t="shared" si="4"/>
        <v>3</v>
      </c>
      <c r="R32" s="232">
        <v>1</v>
      </c>
      <c r="S32" s="232"/>
      <c r="T32" s="232"/>
      <c r="U32" s="232"/>
      <c r="V32" s="232"/>
      <c r="W32" s="232"/>
      <c r="X32" s="232">
        <f t="shared" si="5"/>
        <v>1</v>
      </c>
      <c r="Z32" s="232">
        <v>1</v>
      </c>
      <c r="AA32" s="232"/>
      <c r="AB32" s="232"/>
      <c r="AC32" s="232"/>
      <c r="AD32" s="232"/>
      <c r="AE32" s="232"/>
      <c r="AF32" s="232">
        <f t="shared" si="6"/>
        <v>1</v>
      </c>
      <c r="AH32" s="232">
        <v>2</v>
      </c>
      <c r="AI32" s="232"/>
      <c r="AJ32" s="232"/>
      <c r="AK32" s="232"/>
      <c r="AL32" s="232"/>
      <c r="AM32" s="232"/>
      <c r="AN32" s="232">
        <f t="shared" si="7"/>
        <v>2</v>
      </c>
      <c r="AP32" s="232">
        <v>1</v>
      </c>
      <c r="AQ32" s="232"/>
      <c r="AR32" s="232"/>
      <c r="AS32" s="232"/>
      <c r="AT32" s="232"/>
      <c r="AU32" s="232"/>
      <c r="AV32" s="232">
        <f t="shared" si="8"/>
        <v>1</v>
      </c>
      <c r="AX32" s="232">
        <v>0</v>
      </c>
      <c r="AY32" s="232"/>
      <c r="AZ32" s="232"/>
      <c r="BA32" s="232"/>
      <c r="BB32" s="232"/>
      <c r="BC32" s="232"/>
      <c r="BD32" s="232">
        <f t="shared" si="9"/>
        <v>0</v>
      </c>
      <c r="BF32" s="232"/>
      <c r="BG32" s="232"/>
      <c r="BH32" s="232"/>
      <c r="BI32" s="232"/>
      <c r="BJ32" s="232"/>
      <c r="BK32" s="232"/>
      <c r="BL32" s="232">
        <f t="shared" si="10"/>
        <v>0</v>
      </c>
      <c r="BN32" s="229">
        <f t="shared" si="13"/>
        <v>9</v>
      </c>
      <c r="BO32" s="229">
        <f t="shared" si="11"/>
        <v>0</v>
      </c>
      <c r="BP32" s="229">
        <f t="shared" si="11"/>
        <v>0</v>
      </c>
      <c r="BQ32" s="229">
        <f t="shared" si="11"/>
        <v>0</v>
      </c>
      <c r="BR32" s="229">
        <f t="shared" si="11"/>
        <v>0</v>
      </c>
      <c r="BS32" s="229">
        <f t="shared" si="11"/>
        <v>0</v>
      </c>
      <c r="BT32" s="232">
        <f t="shared" si="12"/>
        <v>9</v>
      </c>
    </row>
    <row r="33" spans="1:72" x14ac:dyDescent="0.25">
      <c r="A33" s="191" t="s">
        <v>186</v>
      </c>
      <c r="B33" s="232">
        <v>1</v>
      </c>
      <c r="C33" s="232"/>
      <c r="D33" s="232"/>
      <c r="E33" s="232"/>
      <c r="F33" s="232"/>
      <c r="G33" s="232"/>
      <c r="H33" s="232">
        <f t="shared" si="3"/>
        <v>1</v>
      </c>
      <c r="J33" s="232">
        <v>2</v>
      </c>
      <c r="K33" s="232"/>
      <c r="L33" s="232"/>
      <c r="M33" s="232"/>
      <c r="N33" s="232"/>
      <c r="O33" s="232"/>
      <c r="P33" s="232">
        <f t="shared" si="4"/>
        <v>2</v>
      </c>
      <c r="R33" s="232">
        <v>1</v>
      </c>
      <c r="S33" s="232"/>
      <c r="T33" s="232"/>
      <c r="U33" s="232"/>
      <c r="V33" s="232"/>
      <c r="W33" s="232"/>
      <c r="X33" s="232">
        <f t="shared" si="5"/>
        <v>1</v>
      </c>
      <c r="Z33" s="232">
        <v>1</v>
      </c>
      <c r="AA33" s="232"/>
      <c r="AB33" s="232"/>
      <c r="AC33" s="232"/>
      <c r="AD33" s="232"/>
      <c r="AE33" s="232"/>
      <c r="AF33" s="232">
        <f t="shared" si="6"/>
        <v>1</v>
      </c>
      <c r="AH33" s="232">
        <v>2</v>
      </c>
      <c r="AI33" s="232"/>
      <c r="AJ33" s="232"/>
      <c r="AK33" s="232"/>
      <c r="AL33" s="232"/>
      <c r="AM33" s="232"/>
      <c r="AN33" s="232">
        <f t="shared" si="7"/>
        <v>2</v>
      </c>
      <c r="AP33" s="232">
        <v>0</v>
      </c>
      <c r="AQ33" s="232"/>
      <c r="AR33" s="232"/>
      <c r="AS33" s="232"/>
      <c r="AT33" s="232"/>
      <c r="AU33" s="232"/>
      <c r="AV33" s="232">
        <f t="shared" si="8"/>
        <v>0</v>
      </c>
      <c r="AX33" s="232">
        <v>0</v>
      </c>
      <c r="AY33" s="232"/>
      <c r="AZ33" s="232"/>
      <c r="BA33" s="232"/>
      <c r="BB33" s="232"/>
      <c r="BC33" s="232"/>
      <c r="BD33" s="232">
        <f t="shared" si="9"/>
        <v>0</v>
      </c>
      <c r="BF33" s="232"/>
      <c r="BG33" s="232"/>
      <c r="BH33" s="232"/>
      <c r="BI33" s="232"/>
      <c r="BJ33" s="232"/>
      <c r="BK33" s="232"/>
      <c r="BL33" s="232">
        <f t="shared" si="10"/>
        <v>0</v>
      </c>
      <c r="BN33" s="229">
        <f t="shared" si="13"/>
        <v>7</v>
      </c>
      <c r="BO33" s="229">
        <f t="shared" si="11"/>
        <v>0</v>
      </c>
      <c r="BP33" s="229">
        <f t="shared" si="11"/>
        <v>0</v>
      </c>
      <c r="BQ33" s="229">
        <f t="shared" si="11"/>
        <v>0</v>
      </c>
      <c r="BR33" s="229">
        <f t="shared" si="11"/>
        <v>0</v>
      </c>
      <c r="BS33" s="229">
        <f t="shared" si="11"/>
        <v>0</v>
      </c>
      <c r="BT33" s="232">
        <f t="shared" si="12"/>
        <v>7</v>
      </c>
    </row>
    <row r="34" spans="1:72" x14ac:dyDescent="0.25">
      <c r="A34" s="191" t="s">
        <v>187</v>
      </c>
      <c r="B34" s="232">
        <v>1</v>
      </c>
      <c r="C34" s="232"/>
      <c r="D34" s="232"/>
      <c r="E34" s="232"/>
      <c r="F34" s="232"/>
      <c r="G34" s="232"/>
      <c r="H34" s="232">
        <f t="shared" si="3"/>
        <v>1</v>
      </c>
      <c r="J34" s="232">
        <v>3</v>
      </c>
      <c r="K34" s="232"/>
      <c r="L34" s="232"/>
      <c r="M34" s="232"/>
      <c r="N34" s="232"/>
      <c r="O34" s="232"/>
      <c r="P34" s="232">
        <f t="shared" si="4"/>
        <v>3</v>
      </c>
      <c r="R34" s="232">
        <v>2</v>
      </c>
      <c r="S34" s="232"/>
      <c r="T34" s="232"/>
      <c r="U34" s="232"/>
      <c r="V34" s="232"/>
      <c r="W34" s="232"/>
      <c r="X34" s="232">
        <f t="shared" si="5"/>
        <v>2</v>
      </c>
      <c r="Z34" s="232">
        <v>3</v>
      </c>
      <c r="AA34" s="232"/>
      <c r="AB34" s="232"/>
      <c r="AC34" s="232"/>
      <c r="AD34" s="232"/>
      <c r="AE34" s="232"/>
      <c r="AF34" s="232">
        <f t="shared" si="6"/>
        <v>3</v>
      </c>
      <c r="AH34" s="233">
        <v>3</v>
      </c>
      <c r="AI34" s="232"/>
      <c r="AJ34" s="232"/>
      <c r="AK34" s="232"/>
      <c r="AL34" s="232"/>
      <c r="AM34" s="232"/>
      <c r="AN34" s="232">
        <f t="shared" si="7"/>
        <v>3</v>
      </c>
      <c r="AP34" s="232">
        <v>1</v>
      </c>
      <c r="AQ34" s="232"/>
      <c r="AR34" s="232"/>
      <c r="AS34" s="232"/>
      <c r="AT34" s="232"/>
      <c r="AU34" s="232"/>
      <c r="AV34" s="232">
        <f t="shared" si="8"/>
        <v>1</v>
      </c>
      <c r="AX34" s="232">
        <v>0</v>
      </c>
      <c r="AY34" s="232"/>
      <c r="AZ34" s="232"/>
      <c r="BA34" s="232"/>
      <c r="BB34" s="232"/>
      <c r="BC34" s="232"/>
      <c r="BD34" s="232">
        <f t="shared" si="9"/>
        <v>0</v>
      </c>
      <c r="BF34" s="232"/>
      <c r="BG34" s="232"/>
      <c r="BH34" s="232"/>
      <c r="BI34" s="232"/>
      <c r="BJ34" s="232"/>
      <c r="BK34" s="232"/>
      <c r="BL34" s="232">
        <f t="shared" si="10"/>
        <v>0</v>
      </c>
      <c r="BN34" s="229">
        <f t="shared" si="13"/>
        <v>13</v>
      </c>
      <c r="BO34" s="229">
        <f t="shared" si="11"/>
        <v>0</v>
      </c>
      <c r="BP34" s="229">
        <f t="shared" si="11"/>
        <v>0</v>
      </c>
      <c r="BQ34" s="229">
        <f t="shared" si="11"/>
        <v>0</v>
      </c>
      <c r="BR34" s="229">
        <f t="shared" si="11"/>
        <v>0</v>
      </c>
      <c r="BS34" s="229">
        <f t="shared" si="11"/>
        <v>0</v>
      </c>
      <c r="BT34" s="232">
        <f t="shared" si="12"/>
        <v>13</v>
      </c>
    </row>
    <row r="35" spans="1:72" x14ac:dyDescent="0.25">
      <c r="A35" s="192" t="s">
        <v>188</v>
      </c>
      <c r="B35" s="233">
        <v>0</v>
      </c>
      <c r="C35" s="232"/>
      <c r="D35" s="232"/>
      <c r="E35" s="232"/>
      <c r="F35" s="232"/>
      <c r="G35" s="232"/>
      <c r="H35" s="232">
        <f t="shared" si="3"/>
        <v>0</v>
      </c>
      <c r="J35" s="232">
        <v>1</v>
      </c>
      <c r="K35" s="232"/>
      <c r="L35" s="232"/>
      <c r="M35" s="232"/>
      <c r="N35" s="232"/>
      <c r="O35" s="232"/>
      <c r="P35" s="232">
        <f t="shared" si="4"/>
        <v>1</v>
      </c>
      <c r="R35" s="232">
        <v>1</v>
      </c>
      <c r="S35" s="232"/>
      <c r="T35" s="232"/>
      <c r="U35" s="232"/>
      <c r="V35" s="232"/>
      <c r="W35" s="232"/>
      <c r="X35" s="232">
        <f t="shared" si="5"/>
        <v>1</v>
      </c>
      <c r="Z35" s="232">
        <v>2</v>
      </c>
      <c r="AA35" s="232"/>
      <c r="AB35" s="232"/>
      <c r="AC35" s="232"/>
      <c r="AD35" s="232"/>
      <c r="AE35" s="232"/>
      <c r="AF35" s="232">
        <f t="shared" si="6"/>
        <v>2</v>
      </c>
      <c r="AH35" s="232">
        <v>1</v>
      </c>
      <c r="AI35" s="232"/>
      <c r="AJ35" s="232"/>
      <c r="AK35" s="232"/>
      <c r="AL35" s="232"/>
      <c r="AM35" s="232"/>
      <c r="AN35" s="232">
        <f t="shared" si="7"/>
        <v>1</v>
      </c>
      <c r="AP35" s="232">
        <v>0</v>
      </c>
      <c r="AQ35" s="232"/>
      <c r="AR35" s="232"/>
      <c r="AS35" s="232"/>
      <c r="AT35" s="232"/>
      <c r="AU35" s="232"/>
      <c r="AV35" s="232">
        <f t="shared" si="8"/>
        <v>0</v>
      </c>
      <c r="AX35" s="232">
        <v>0</v>
      </c>
      <c r="AY35" s="232"/>
      <c r="AZ35" s="232"/>
      <c r="BA35" s="232"/>
      <c r="BB35" s="232"/>
      <c r="BC35" s="232"/>
      <c r="BD35" s="232">
        <f t="shared" si="9"/>
        <v>0</v>
      </c>
      <c r="BF35" s="232"/>
      <c r="BG35" s="232"/>
      <c r="BH35" s="232"/>
      <c r="BI35" s="232"/>
      <c r="BJ35" s="232"/>
      <c r="BK35" s="232"/>
      <c r="BL35" s="232">
        <f t="shared" si="10"/>
        <v>0</v>
      </c>
      <c r="BN35" s="229">
        <f t="shared" si="13"/>
        <v>5</v>
      </c>
      <c r="BO35" s="229">
        <f t="shared" si="11"/>
        <v>0</v>
      </c>
      <c r="BP35" s="229">
        <f t="shared" si="11"/>
        <v>0</v>
      </c>
      <c r="BQ35" s="229">
        <f t="shared" si="11"/>
        <v>0</v>
      </c>
      <c r="BR35" s="229">
        <f t="shared" si="11"/>
        <v>0</v>
      </c>
      <c r="BS35" s="229">
        <f t="shared" si="11"/>
        <v>0</v>
      </c>
      <c r="BT35" s="232">
        <f t="shared" si="12"/>
        <v>5</v>
      </c>
    </row>
    <row r="36" spans="1:72" x14ac:dyDescent="0.25">
      <c r="A36" s="189" t="s">
        <v>189</v>
      </c>
      <c r="B36" s="234">
        <f>SUM(B27:B35)</f>
        <v>42</v>
      </c>
      <c r="C36" s="234">
        <f t="shared" ref="C36:G36" si="14">SUM(C27:C35)</f>
        <v>5</v>
      </c>
      <c r="D36" s="234">
        <f t="shared" si="14"/>
        <v>0</v>
      </c>
      <c r="E36" s="234">
        <f t="shared" si="14"/>
        <v>0</v>
      </c>
      <c r="F36" s="234">
        <f t="shared" si="14"/>
        <v>0</v>
      </c>
      <c r="G36" s="234">
        <f t="shared" si="14"/>
        <v>0</v>
      </c>
      <c r="H36" s="234">
        <f>SUM(H27:H35)</f>
        <v>47</v>
      </c>
      <c r="J36" s="234">
        <f>SUM(J27:J35)</f>
        <v>101</v>
      </c>
      <c r="K36" s="234">
        <f t="shared" ref="K36:O36" si="15">SUM(K27:K35)</f>
        <v>13</v>
      </c>
      <c r="L36" s="234">
        <f t="shared" si="15"/>
        <v>0</v>
      </c>
      <c r="M36" s="234">
        <f t="shared" si="15"/>
        <v>0</v>
      </c>
      <c r="N36" s="234">
        <f t="shared" si="15"/>
        <v>0</v>
      </c>
      <c r="O36" s="234">
        <f t="shared" si="15"/>
        <v>0</v>
      </c>
      <c r="P36" s="234">
        <f>SUM(P27:P35)</f>
        <v>114</v>
      </c>
      <c r="R36" s="234">
        <f>SUM(R27:R35)</f>
        <v>44</v>
      </c>
      <c r="S36" s="234">
        <f t="shared" ref="S36:W36" si="16">SUM(S27:S35)</f>
        <v>4</v>
      </c>
      <c r="T36" s="234">
        <f t="shared" si="16"/>
        <v>0</v>
      </c>
      <c r="U36" s="234">
        <f t="shared" si="16"/>
        <v>0</v>
      </c>
      <c r="V36" s="234">
        <f t="shared" si="16"/>
        <v>0</v>
      </c>
      <c r="W36" s="234">
        <f t="shared" si="16"/>
        <v>0</v>
      </c>
      <c r="X36" s="234">
        <f>SUM(X27:X35)</f>
        <v>48</v>
      </c>
      <c r="Z36" s="234">
        <f>SUM(Z27:Z35)</f>
        <v>56</v>
      </c>
      <c r="AA36" s="234">
        <f t="shared" ref="AA36:AE36" si="17">SUM(AA27:AA35)</f>
        <v>5</v>
      </c>
      <c r="AB36" s="234">
        <f t="shared" si="17"/>
        <v>0</v>
      </c>
      <c r="AC36" s="234">
        <f t="shared" si="17"/>
        <v>0</v>
      </c>
      <c r="AD36" s="234">
        <f t="shared" si="17"/>
        <v>0</v>
      </c>
      <c r="AE36" s="234">
        <f t="shared" si="17"/>
        <v>0</v>
      </c>
      <c r="AF36" s="234">
        <f>SUM(AF27:AF35)</f>
        <v>61</v>
      </c>
      <c r="AH36" s="234">
        <f>SUM(AH27:AH35)</f>
        <v>101</v>
      </c>
      <c r="AI36" s="234">
        <f t="shared" ref="AI36:AM36" si="18">SUM(AI27:AI35)</f>
        <v>13</v>
      </c>
      <c r="AJ36" s="234">
        <f t="shared" si="18"/>
        <v>0</v>
      </c>
      <c r="AK36" s="234">
        <f t="shared" si="18"/>
        <v>0</v>
      </c>
      <c r="AL36" s="234">
        <f t="shared" si="18"/>
        <v>0</v>
      </c>
      <c r="AM36" s="234">
        <f t="shared" si="18"/>
        <v>0</v>
      </c>
      <c r="AN36" s="234">
        <f>SUM(AN27:AN35)</f>
        <v>114</v>
      </c>
      <c r="AP36" s="234">
        <f>SUM(AP27:AP35)</f>
        <v>38</v>
      </c>
      <c r="AQ36" s="234">
        <f t="shared" ref="AQ36:AU36" si="19">SUM(AQ27:AQ35)</f>
        <v>4</v>
      </c>
      <c r="AR36" s="234">
        <f t="shared" si="19"/>
        <v>0</v>
      </c>
      <c r="AS36" s="234">
        <f t="shared" si="19"/>
        <v>0</v>
      </c>
      <c r="AT36" s="234">
        <f t="shared" si="19"/>
        <v>0</v>
      </c>
      <c r="AU36" s="234">
        <f t="shared" si="19"/>
        <v>0</v>
      </c>
      <c r="AV36" s="234">
        <f>SUM(AV27:AV35)</f>
        <v>42</v>
      </c>
      <c r="AX36" s="234">
        <f>SUM(AX27:AX35)</f>
        <v>0</v>
      </c>
      <c r="AY36" s="234">
        <f t="shared" ref="AY36:BC36" si="20">SUM(AY27:AY35)</f>
        <v>1</v>
      </c>
      <c r="AZ36" s="234">
        <f t="shared" si="20"/>
        <v>0</v>
      </c>
      <c r="BA36" s="234">
        <f t="shared" si="20"/>
        <v>0</v>
      </c>
      <c r="BB36" s="234">
        <f t="shared" si="20"/>
        <v>0</v>
      </c>
      <c r="BC36" s="234">
        <f t="shared" si="20"/>
        <v>0</v>
      </c>
      <c r="BD36" s="234">
        <f>SUM(BD27:BD35)</f>
        <v>1</v>
      </c>
      <c r="BF36" s="234">
        <f>SUM(BF27:BF35)</f>
        <v>1</v>
      </c>
      <c r="BG36" s="234">
        <f t="shared" ref="BG36:BK36" si="21">SUM(BG27:BG35)</f>
        <v>0</v>
      </c>
      <c r="BH36" s="234">
        <f t="shared" si="21"/>
        <v>0</v>
      </c>
      <c r="BI36" s="234">
        <f t="shared" si="21"/>
        <v>0</v>
      </c>
      <c r="BJ36" s="234">
        <f t="shared" si="21"/>
        <v>0</v>
      </c>
      <c r="BK36" s="234">
        <f t="shared" si="21"/>
        <v>0</v>
      </c>
      <c r="BL36" s="234">
        <f>SUM(BL27:BL35)</f>
        <v>1</v>
      </c>
      <c r="BN36" s="234">
        <f>SUM(BN27:BN35)</f>
        <v>383</v>
      </c>
      <c r="BO36" s="234">
        <f t="shared" ref="BO36:BS36" si="22">SUM(BO27:BO35)</f>
        <v>45</v>
      </c>
      <c r="BP36" s="234">
        <f t="shared" si="22"/>
        <v>0</v>
      </c>
      <c r="BQ36" s="234">
        <f t="shared" si="22"/>
        <v>0</v>
      </c>
      <c r="BR36" s="234">
        <f t="shared" si="22"/>
        <v>0</v>
      </c>
      <c r="BS36" s="234">
        <f t="shared" si="22"/>
        <v>0</v>
      </c>
      <c r="BT36" s="234">
        <f>SUM(BT27:BT35)</f>
        <v>428</v>
      </c>
    </row>
    <row r="37" spans="1:72" x14ac:dyDescent="0.25">
      <c r="A37" s="193"/>
      <c r="B37" s="227"/>
      <c r="C37" s="227"/>
      <c r="D37" s="227"/>
      <c r="E37" s="227"/>
      <c r="F37" s="227"/>
      <c r="G37" s="227"/>
      <c r="H37" s="227"/>
      <c r="J37" s="227"/>
      <c r="K37" s="227"/>
      <c r="L37" s="227"/>
      <c r="M37" s="227"/>
      <c r="N37" s="227"/>
      <c r="O37" s="227"/>
      <c r="P37" s="227"/>
      <c r="R37" s="227"/>
      <c r="S37" s="227"/>
      <c r="T37" s="227"/>
      <c r="U37" s="227"/>
      <c r="V37" s="227"/>
      <c r="W37" s="227"/>
      <c r="X37" s="227"/>
      <c r="Z37" s="227"/>
      <c r="AA37" s="227"/>
      <c r="AB37" s="227"/>
      <c r="AC37" s="227"/>
      <c r="AD37" s="227"/>
      <c r="AE37" s="227"/>
      <c r="AF37" s="227"/>
      <c r="AH37" s="227"/>
      <c r="AI37" s="227"/>
      <c r="AJ37" s="227"/>
      <c r="AK37" s="227"/>
      <c r="AL37" s="227"/>
      <c r="AM37" s="227"/>
      <c r="AN37" s="227"/>
      <c r="AP37" s="227"/>
      <c r="AQ37" s="227"/>
      <c r="AR37" s="227"/>
      <c r="AS37" s="227"/>
      <c r="AT37" s="227"/>
      <c r="AU37" s="227"/>
      <c r="AV37" s="227"/>
      <c r="AX37" s="227"/>
      <c r="AY37" s="227"/>
      <c r="AZ37" s="227"/>
      <c r="BA37" s="227"/>
      <c r="BB37" s="227"/>
      <c r="BC37" s="227"/>
      <c r="BD37" s="227"/>
      <c r="BF37" s="227"/>
      <c r="BG37" s="227"/>
      <c r="BH37" s="227"/>
      <c r="BI37" s="227"/>
      <c r="BJ37" s="227"/>
      <c r="BK37" s="227"/>
      <c r="BL37" s="227"/>
      <c r="BN37" s="227"/>
      <c r="BO37" s="227"/>
      <c r="BP37" s="227"/>
      <c r="BQ37" s="227"/>
      <c r="BR37" s="227"/>
      <c r="BS37" s="227"/>
      <c r="BT37" s="227"/>
    </row>
    <row r="38" spans="1:72" x14ac:dyDescent="0.25">
      <c r="A38" s="189" t="s">
        <v>190</v>
      </c>
      <c r="B38" s="228" t="s">
        <v>309</v>
      </c>
      <c r="C38" s="228" t="s">
        <v>310</v>
      </c>
      <c r="D38" s="228" t="s">
        <v>311</v>
      </c>
      <c r="E38" s="228" t="str">
        <f>E20</f>
        <v>Other</v>
      </c>
      <c r="F38" s="228" t="s">
        <v>313</v>
      </c>
      <c r="G38" s="228" t="s">
        <v>314</v>
      </c>
      <c r="H38" s="228" t="s">
        <v>59</v>
      </c>
      <c r="J38" s="228" t="s">
        <v>309</v>
      </c>
      <c r="K38" s="228" t="s">
        <v>310</v>
      </c>
      <c r="L38" s="228" t="s">
        <v>311</v>
      </c>
      <c r="M38" s="228" t="str">
        <f>M20</f>
        <v>Other</v>
      </c>
      <c r="N38" s="228" t="s">
        <v>313</v>
      </c>
      <c r="O38" s="228" t="s">
        <v>314</v>
      </c>
      <c r="P38" s="228" t="str">
        <f>P26</f>
        <v>Cadence</v>
      </c>
      <c r="R38" s="228" t="s">
        <v>309</v>
      </c>
      <c r="S38" s="228" t="s">
        <v>310</v>
      </c>
      <c r="T38" s="228" t="s">
        <v>311</v>
      </c>
      <c r="U38" s="228" t="str">
        <f>U20</f>
        <v>Other</v>
      </c>
      <c r="V38" s="228" t="s">
        <v>313</v>
      </c>
      <c r="W38" s="228" t="s">
        <v>314</v>
      </c>
      <c r="X38" s="228" t="str">
        <f>X20</f>
        <v>St. Rose</v>
      </c>
      <c r="Z38" s="228" t="s">
        <v>309</v>
      </c>
      <c r="AA38" s="228" t="s">
        <v>310</v>
      </c>
      <c r="AB38" s="228" t="s">
        <v>311</v>
      </c>
      <c r="AC38" s="228" t="str">
        <f>AC20</f>
        <v>Other</v>
      </c>
      <c r="AD38" s="228" t="s">
        <v>313</v>
      </c>
      <c r="AE38" s="228" t="s">
        <v>314</v>
      </c>
      <c r="AF38" s="228" t="str">
        <f>AF26</f>
        <v>Inspirada</v>
      </c>
      <c r="AH38" s="228" t="s">
        <v>309</v>
      </c>
      <c r="AI38" s="228" t="s">
        <v>310</v>
      </c>
      <c r="AJ38" s="228" t="s">
        <v>311</v>
      </c>
      <c r="AK38" s="228" t="str">
        <f>AK20</f>
        <v>Other</v>
      </c>
      <c r="AL38" s="228" t="s">
        <v>313</v>
      </c>
      <c r="AM38" s="228" t="s">
        <v>314</v>
      </c>
      <c r="AN38" s="228" t="str">
        <f>AN26</f>
        <v>Sloan</v>
      </c>
      <c r="AP38" s="228" t="s">
        <v>309</v>
      </c>
      <c r="AQ38" s="228" t="s">
        <v>310</v>
      </c>
      <c r="AR38" s="228" t="s">
        <v>311</v>
      </c>
      <c r="AS38" s="228" t="str">
        <f>AS20</f>
        <v>Other</v>
      </c>
      <c r="AT38" s="228" t="s">
        <v>313</v>
      </c>
      <c r="AU38" s="228" t="s">
        <v>314</v>
      </c>
      <c r="AV38" s="228" t="str">
        <f>AV26</f>
        <v>Springs</v>
      </c>
      <c r="AX38" s="228" t="s">
        <v>309</v>
      </c>
      <c r="AY38" s="228" t="s">
        <v>310</v>
      </c>
      <c r="AZ38" s="228" t="s">
        <v>311</v>
      </c>
      <c r="BA38" s="228" t="str">
        <f>BA20</f>
        <v>Other</v>
      </c>
      <c r="BB38" s="228" t="s">
        <v>313</v>
      </c>
      <c r="BC38" s="228" t="s">
        <v>314</v>
      </c>
      <c r="BD38" s="228" t="str">
        <f>BD26</f>
        <v>Virtual</v>
      </c>
      <c r="BF38" s="228" t="s">
        <v>309</v>
      </c>
      <c r="BG38" s="228" t="s">
        <v>310</v>
      </c>
      <c r="BH38" s="228" t="s">
        <v>311</v>
      </c>
      <c r="BI38" s="228" t="str">
        <f>BI20</f>
        <v>Other</v>
      </c>
      <c r="BJ38" s="228" t="s">
        <v>313</v>
      </c>
      <c r="BK38" s="228" t="s">
        <v>314</v>
      </c>
      <c r="BL38" s="228" t="str">
        <f>BL26</f>
        <v>Central</v>
      </c>
      <c r="BN38" s="228" t="s">
        <v>309</v>
      </c>
      <c r="BO38" s="228" t="s">
        <v>310</v>
      </c>
      <c r="BP38" s="228" t="s">
        <v>311</v>
      </c>
      <c r="BQ38" s="228" t="str">
        <f>BQ20</f>
        <v>Other</v>
      </c>
      <c r="BR38" s="228" t="s">
        <v>313</v>
      </c>
      <c r="BS38" s="228" t="s">
        <v>314</v>
      </c>
      <c r="BT38" s="228" t="str">
        <f>BT26</f>
        <v>System</v>
      </c>
    </row>
    <row r="39" spans="1:72" x14ac:dyDescent="0.25">
      <c r="A39" s="191" t="s">
        <v>53</v>
      </c>
      <c r="B39" s="232">
        <v>1</v>
      </c>
      <c r="C39" s="233"/>
      <c r="D39" s="233"/>
      <c r="E39" s="233"/>
      <c r="F39" s="233"/>
      <c r="G39" s="233"/>
      <c r="H39" s="232">
        <f t="shared" ref="H39:H60" si="23">SUM(B39:G39)</f>
        <v>1</v>
      </c>
      <c r="J39" s="232">
        <v>1</v>
      </c>
      <c r="K39" s="233"/>
      <c r="L39" s="233"/>
      <c r="M39" s="233"/>
      <c r="N39" s="233"/>
      <c r="O39" s="233"/>
      <c r="P39" s="232">
        <f t="shared" ref="P39:P60" si="24">SUM(J39:O39)</f>
        <v>1</v>
      </c>
      <c r="R39" s="232">
        <v>1</v>
      </c>
      <c r="S39" s="233"/>
      <c r="T39" s="233"/>
      <c r="U39" s="233"/>
      <c r="V39" s="233"/>
      <c r="W39" s="233"/>
      <c r="X39" s="232">
        <f t="shared" ref="X39:X60" si="25">SUM(R39:W39)</f>
        <v>1</v>
      </c>
      <c r="Z39" s="232">
        <v>1</v>
      </c>
      <c r="AA39" s="233"/>
      <c r="AB39" s="233"/>
      <c r="AC39" s="233"/>
      <c r="AD39" s="233"/>
      <c r="AE39" s="233"/>
      <c r="AF39" s="232">
        <f t="shared" ref="AF39:AF60" si="26">SUM(Z39:AE39)</f>
        <v>1</v>
      </c>
      <c r="AH39" s="232">
        <v>1</v>
      </c>
      <c r="AI39" s="233"/>
      <c r="AJ39" s="233"/>
      <c r="AK39" s="233"/>
      <c r="AL39" s="233"/>
      <c r="AM39" s="233"/>
      <c r="AN39" s="232">
        <f t="shared" ref="AN39:AN60" si="27">SUM(AH39:AM39)</f>
        <v>1</v>
      </c>
      <c r="AP39" s="232">
        <v>1</v>
      </c>
      <c r="AQ39" s="233"/>
      <c r="AR39" s="233"/>
      <c r="AS39" s="233"/>
      <c r="AT39" s="233"/>
      <c r="AU39" s="233"/>
      <c r="AV39" s="232">
        <f t="shared" ref="AV39:AV60" si="28">SUM(AP39:AU39)</f>
        <v>1</v>
      </c>
      <c r="AX39" s="232">
        <v>0</v>
      </c>
      <c r="AY39" s="233"/>
      <c r="AZ39" s="233"/>
      <c r="BA39" s="233"/>
      <c r="BB39" s="233"/>
      <c r="BC39" s="233"/>
      <c r="BD39" s="232">
        <f t="shared" ref="BD39:BD60" si="29">SUM(AX39:BC39)</f>
        <v>0</v>
      </c>
      <c r="BF39" s="232"/>
      <c r="BG39" s="233"/>
      <c r="BH39" s="233"/>
      <c r="BI39" s="233"/>
      <c r="BJ39" s="233"/>
      <c r="BK39" s="233"/>
      <c r="BL39" s="232">
        <f t="shared" ref="BL39:BL60" si="30">SUM(BF39:BK39)</f>
        <v>0</v>
      </c>
      <c r="BN39" s="229">
        <f>B39+J39+R39+Z39+AH39+AP39+AX39+BF39</f>
        <v>6</v>
      </c>
      <c r="BO39" s="229">
        <f t="shared" ref="BO39:BS54" si="31">C39+K39+S39+AA39+AI39+AQ39+AY39+BG39</f>
        <v>0</v>
      </c>
      <c r="BP39" s="229">
        <f t="shared" si="31"/>
        <v>0</v>
      </c>
      <c r="BQ39" s="229">
        <f t="shared" si="31"/>
        <v>0</v>
      </c>
      <c r="BR39" s="229">
        <f t="shared" si="31"/>
        <v>0</v>
      </c>
      <c r="BS39" s="229">
        <f t="shared" si="31"/>
        <v>0</v>
      </c>
      <c r="BT39" s="232">
        <f t="shared" ref="BT39:BT49" si="32">SUM(BN39:BS39)</f>
        <v>6</v>
      </c>
    </row>
    <row r="40" spans="1:72" x14ac:dyDescent="0.25">
      <c r="A40" s="191" t="s">
        <v>191</v>
      </c>
      <c r="B40" s="232">
        <v>2</v>
      </c>
      <c r="C40" s="233">
        <v>1</v>
      </c>
      <c r="D40" s="233"/>
      <c r="E40" s="233"/>
      <c r="F40" s="233"/>
      <c r="G40" s="233"/>
      <c r="H40" s="232">
        <f t="shared" si="23"/>
        <v>3</v>
      </c>
      <c r="J40" s="232">
        <v>6</v>
      </c>
      <c r="K40" s="233"/>
      <c r="L40" s="233"/>
      <c r="M40" s="233"/>
      <c r="N40" s="233"/>
      <c r="O40" s="233"/>
      <c r="P40" s="232">
        <f t="shared" si="24"/>
        <v>6</v>
      </c>
      <c r="R40" s="232">
        <v>3</v>
      </c>
      <c r="S40" s="233"/>
      <c r="T40" s="233"/>
      <c r="U40" s="233"/>
      <c r="V40" s="233"/>
      <c r="W40" s="233"/>
      <c r="X40" s="232">
        <f t="shared" si="25"/>
        <v>3</v>
      </c>
      <c r="Z40" s="232">
        <v>2</v>
      </c>
      <c r="AA40" s="233"/>
      <c r="AB40" s="233"/>
      <c r="AC40" s="233"/>
      <c r="AD40" s="233"/>
      <c r="AE40" s="233"/>
      <c r="AF40" s="232">
        <f t="shared" si="26"/>
        <v>2</v>
      </c>
      <c r="AH40" s="232">
        <v>4</v>
      </c>
      <c r="AI40" s="233"/>
      <c r="AJ40" s="233"/>
      <c r="AK40" s="233"/>
      <c r="AL40" s="233"/>
      <c r="AM40" s="233"/>
      <c r="AN40" s="232">
        <f t="shared" si="27"/>
        <v>4</v>
      </c>
      <c r="AP40" s="233">
        <v>2</v>
      </c>
      <c r="AQ40" s="233"/>
      <c r="AR40" s="233"/>
      <c r="AS40" s="233"/>
      <c r="AT40" s="233"/>
      <c r="AU40" s="233"/>
      <c r="AV40" s="232">
        <f t="shared" si="28"/>
        <v>2</v>
      </c>
      <c r="AX40" s="232">
        <v>0</v>
      </c>
      <c r="AY40" s="233"/>
      <c r="AZ40" s="233"/>
      <c r="BA40" s="233"/>
      <c r="BB40" s="233"/>
      <c r="BC40" s="233"/>
      <c r="BD40" s="232">
        <f t="shared" si="29"/>
        <v>0</v>
      </c>
      <c r="BF40" s="232">
        <v>1</v>
      </c>
      <c r="BG40" s="233"/>
      <c r="BH40" s="233"/>
      <c r="BI40" s="233"/>
      <c r="BJ40" s="233"/>
      <c r="BK40" s="233"/>
      <c r="BL40" s="232">
        <f t="shared" si="30"/>
        <v>1</v>
      </c>
      <c r="BN40" s="229">
        <f t="shared" ref="BN40:BS60" si="33">B40+J40+R40+Z40+AH40+AP40+AX40+BF40</f>
        <v>20</v>
      </c>
      <c r="BO40" s="229">
        <f t="shared" si="31"/>
        <v>1</v>
      </c>
      <c r="BP40" s="229">
        <f t="shared" si="31"/>
        <v>0</v>
      </c>
      <c r="BQ40" s="229">
        <f t="shared" si="31"/>
        <v>0</v>
      </c>
      <c r="BR40" s="229">
        <f t="shared" si="31"/>
        <v>0</v>
      </c>
      <c r="BS40" s="229">
        <f t="shared" si="31"/>
        <v>0</v>
      </c>
      <c r="BT40" s="232">
        <f t="shared" si="32"/>
        <v>21</v>
      </c>
    </row>
    <row r="41" spans="1:72" x14ac:dyDescent="0.25">
      <c r="A41" s="194" t="s">
        <v>192</v>
      </c>
      <c r="B41" s="232"/>
      <c r="C41" s="233"/>
      <c r="D41" s="233"/>
      <c r="E41" s="233"/>
      <c r="F41" s="233"/>
      <c r="G41" s="233"/>
      <c r="H41" s="232">
        <f t="shared" si="23"/>
        <v>0</v>
      </c>
      <c r="J41" s="232">
        <v>1</v>
      </c>
      <c r="K41" s="233"/>
      <c r="L41" s="233"/>
      <c r="M41" s="233"/>
      <c r="N41" s="233"/>
      <c r="O41" s="233"/>
      <c r="P41" s="232">
        <f t="shared" si="24"/>
        <v>1</v>
      </c>
      <c r="R41" s="232"/>
      <c r="S41" s="233"/>
      <c r="T41" s="233"/>
      <c r="U41" s="233"/>
      <c r="V41" s="233"/>
      <c r="W41" s="233"/>
      <c r="X41" s="232">
        <f t="shared" si="25"/>
        <v>0</v>
      </c>
      <c r="Z41" s="232"/>
      <c r="AA41" s="233"/>
      <c r="AB41" s="233"/>
      <c r="AC41" s="233"/>
      <c r="AD41" s="233"/>
      <c r="AE41" s="233"/>
      <c r="AF41" s="232">
        <f t="shared" si="26"/>
        <v>0</v>
      </c>
      <c r="AH41" s="232"/>
      <c r="AI41" s="233"/>
      <c r="AJ41" s="233"/>
      <c r="AK41" s="233"/>
      <c r="AL41" s="233"/>
      <c r="AM41" s="233"/>
      <c r="AN41" s="232">
        <f t="shared" si="27"/>
        <v>0</v>
      </c>
      <c r="AP41" s="233">
        <v>1</v>
      </c>
      <c r="AQ41" s="233"/>
      <c r="AR41" s="233"/>
      <c r="AS41" s="233"/>
      <c r="AT41" s="233"/>
      <c r="AU41" s="233"/>
      <c r="AV41" s="232">
        <f t="shared" si="28"/>
        <v>1</v>
      </c>
      <c r="AX41" s="232">
        <v>0</v>
      </c>
      <c r="AY41" s="233"/>
      <c r="AZ41" s="233"/>
      <c r="BA41" s="233"/>
      <c r="BB41" s="233"/>
      <c r="BC41" s="233"/>
      <c r="BD41" s="232">
        <f t="shared" si="29"/>
        <v>0</v>
      </c>
      <c r="BF41" s="232"/>
      <c r="BG41" s="233"/>
      <c r="BH41" s="233"/>
      <c r="BI41" s="233"/>
      <c r="BJ41" s="233"/>
      <c r="BK41" s="233"/>
      <c r="BL41" s="232">
        <f t="shared" si="30"/>
        <v>0</v>
      </c>
      <c r="BN41" s="229">
        <f t="shared" si="33"/>
        <v>2</v>
      </c>
      <c r="BO41" s="229">
        <f t="shared" si="31"/>
        <v>0</v>
      </c>
      <c r="BP41" s="229">
        <f t="shared" si="31"/>
        <v>0</v>
      </c>
      <c r="BQ41" s="229">
        <f t="shared" si="31"/>
        <v>0</v>
      </c>
      <c r="BR41" s="229">
        <f t="shared" si="31"/>
        <v>0</v>
      </c>
      <c r="BS41" s="229">
        <f t="shared" si="31"/>
        <v>0</v>
      </c>
      <c r="BT41" s="232">
        <f t="shared" si="32"/>
        <v>2</v>
      </c>
    </row>
    <row r="42" spans="1:72" x14ac:dyDescent="0.25">
      <c r="A42" s="191" t="s">
        <v>193</v>
      </c>
      <c r="B42" s="232"/>
      <c r="C42" s="233"/>
      <c r="D42" s="233"/>
      <c r="E42" s="233"/>
      <c r="F42" s="233"/>
      <c r="G42" s="233"/>
      <c r="H42" s="232">
        <f t="shared" si="23"/>
        <v>0</v>
      </c>
      <c r="J42" s="233">
        <v>4</v>
      </c>
      <c r="K42" s="233"/>
      <c r="L42" s="233"/>
      <c r="M42" s="233"/>
      <c r="N42" s="233"/>
      <c r="O42" s="233"/>
      <c r="P42" s="232">
        <f t="shared" si="24"/>
        <v>4</v>
      </c>
      <c r="R42" s="232">
        <v>1</v>
      </c>
      <c r="S42" s="233"/>
      <c r="T42" s="233"/>
      <c r="U42" s="233"/>
      <c r="V42" s="233"/>
      <c r="W42" s="233"/>
      <c r="X42" s="232">
        <f t="shared" si="25"/>
        <v>1</v>
      </c>
      <c r="Z42" s="232"/>
      <c r="AA42" s="233"/>
      <c r="AB42" s="233"/>
      <c r="AC42" s="233"/>
      <c r="AD42" s="233"/>
      <c r="AE42" s="233"/>
      <c r="AF42" s="232">
        <f t="shared" si="26"/>
        <v>0</v>
      </c>
      <c r="AH42" s="232">
        <v>3</v>
      </c>
      <c r="AI42" s="233"/>
      <c r="AJ42" s="233"/>
      <c r="AK42" s="233"/>
      <c r="AL42" s="233"/>
      <c r="AM42" s="233"/>
      <c r="AN42" s="232">
        <f t="shared" si="27"/>
        <v>3</v>
      </c>
      <c r="AP42" s="233"/>
      <c r="AQ42" s="233"/>
      <c r="AR42" s="233"/>
      <c r="AS42" s="233"/>
      <c r="AT42" s="233"/>
      <c r="AU42" s="233"/>
      <c r="AV42" s="232">
        <f t="shared" si="28"/>
        <v>0</v>
      </c>
      <c r="AX42" s="232"/>
      <c r="AY42" s="233"/>
      <c r="AZ42" s="233"/>
      <c r="BA42" s="233"/>
      <c r="BB42" s="233"/>
      <c r="BC42" s="233"/>
      <c r="BD42" s="232">
        <f t="shared" si="29"/>
        <v>0</v>
      </c>
      <c r="BF42" s="232"/>
      <c r="BG42" s="233"/>
      <c r="BH42" s="233"/>
      <c r="BI42" s="233"/>
      <c r="BJ42" s="233"/>
      <c r="BK42" s="233"/>
      <c r="BL42" s="232">
        <f t="shared" si="30"/>
        <v>0</v>
      </c>
      <c r="BN42" s="229">
        <f t="shared" si="33"/>
        <v>8</v>
      </c>
      <c r="BO42" s="229">
        <f t="shared" si="31"/>
        <v>0</v>
      </c>
      <c r="BP42" s="229">
        <f t="shared" si="31"/>
        <v>0</v>
      </c>
      <c r="BQ42" s="229">
        <f t="shared" si="31"/>
        <v>0</v>
      </c>
      <c r="BR42" s="229">
        <f t="shared" si="31"/>
        <v>0</v>
      </c>
      <c r="BS42" s="229">
        <f t="shared" si="31"/>
        <v>0</v>
      </c>
      <c r="BT42" s="232">
        <f t="shared" si="32"/>
        <v>8</v>
      </c>
    </row>
    <row r="43" spans="1:72" x14ac:dyDescent="0.25">
      <c r="A43" s="191" t="s">
        <v>194</v>
      </c>
      <c r="B43" s="232">
        <v>1</v>
      </c>
      <c r="C43" s="233"/>
      <c r="D43" s="233"/>
      <c r="E43" s="233"/>
      <c r="F43" s="233">
        <v>1</v>
      </c>
      <c r="G43" s="233"/>
      <c r="H43" s="232">
        <f t="shared" si="23"/>
        <v>2</v>
      </c>
      <c r="J43" s="233">
        <v>3</v>
      </c>
      <c r="K43" s="233"/>
      <c r="L43" s="233"/>
      <c r="M43" s="233"/>
      <c r="N43" s="233"/>
      <c r="O43" s="233"/>
      <c r="P43" s="232">
        <f t="shared" si="24"/>
        <v>3</v>
      </c>
      <c r="R43" s="232">
        <v>1</v>
      </c>
      <c r="S43" s="233"/>
      <c r="T43" s="233"/>
      <c r="U43" s="233"/>
      <c r="V43" s="233"/>
      <c r="W43" s="233"/>
      <c r="X43" s="232">
        <f t="shared" si="25"/>
        <v>1</v>
      </c>
      <c r="Z43" s="232">
        <v>3</v>
      </c>
      <c r="AA43" s="233"/>
      <c r="AB43" s="233"/>
      <c r="AC43" s="233"/>
      <c r="AD43" s="233"/>
      <c r="AE43" s="233"/>
      <c r="AF43" s="232">
        <f t="shared" si="26"/>
        <v>3</v>
      </c>
      <c r="AH43" s="232">
        <v>2</v>
      </c>
      <c r="AI43" s="233"/>
      <c r="AJ43" s="233"/>
      <c r="AK43" s="233"/>
      <c r="AL43" s="233"/>
      <c r="AM43" s="233"/>
      <c r="AN43" s="232">
        <f t="shared" si="27"/>
        <v>2</v>
      </c>
      <c r="AP43" s="233">
        <v>1</v>
      </c>
      <c r="AQ43" s="233"/>
      <c r="AR43" s="233"/>
      <c r="AS43" s="233"/>
      <c r="AT43" s="233">
        <v>0</v>
      </c>
      <c r="AU43" s="233"/>
      <c r="AV43" s="232">
        <f t="shared" si="28"/>
        <v>1</v>
      </c>
      <c r="AX43" s="232">
        <v>1</v>
      </c>
      <c r="AY43" s="233"/>
      <c r="AZ43" s="233"/>
      <c r="BA43" s="233"/>
      <c r="BB43" s="233">
        <v>0</v>
      </c>
      <c r="BC43" s="233"/>
      <c r="BD43" s="232">
        <f t="shared" si="29"/>
        <v>1</v>
      </c>
      <c r="BF43" s="232">
        <v>0</v>
      </c>
      <c r="BG43" s="233"/>
      <c r="BH43" s="233"/>
      <c r="BI43" s="233"/>
      <c r="BJ43" s="233">
        <v>1</v>
      </c>
      <c r="BK43" s="233"/>
      <c r="BL43" s="232">
        <f t="shared" si="30"/>
        <v>1</v>
      </c>
      <c r="BN43" s="229">
        <f t="shared" si="33"/>
        <v>12</v>
      </c>
      <c r="BO43" s="229">
        <f t="shared" si="31"/>
        <v>0</v>
      </c>
      <c r="BP43" s="229">
        <f t="shared" si="31"/>
        <v>0</v>
      </c>
      <c r="BQ43" s="229">
        <f t="shared" si="31"/>
        <v>0</v>
      </c>
      <c r="BR43" s="229">
        <f t="shared" si="31"/>
        <v>2</v>
      </c>
      <c r="BS43" s="229">
        <f t="shared" si="31"/>
        <v>0</v>
      </c>
      <c r="BT43" s="232">
        <f t="shared" si="32"/>
        <v>14</v>
      </c>
    </row>
    <row r="44" spans="1:72" x14ac:dyDescent="0.25">
      <c r="A44" s="191" t="s">
        <v>195</v>
      </c>
      <c r="B44" s="232"/>
      <c r="C44" s="233"/>
      <c r="D44" s="233"/>
      <c r="E44" s="233"/>
      <c r="F44" s="233"/>
      <c r="G44" s="233"/>
      <c r="H44" s="232">
        <f t="shared" si="23"/>
        <v>0</v>
      </c>
      <c r="J44" s="233">
        <v>5</v>
      </c>
      <c r="K44" s="233"/>
      <c r="L44" s="233"/>
      <c r="M44" s="233"/>
      <c r="N44" s="233"/>
      <c r="O44" s="233"/>
      <c r="P44" s="232">
        <f t="shared" si="24"/>
        <v>5</v>
      </c>
      <c r="R44" s="232"/>
      <c r="S44" s="233"/>
      <c r="T44" s="233"/>
      <c r="U44" s="233"/>
      <c r="V44" s="233"/>
      <c r="W44" s="233"/>
      <c r="X44" s="232">
        <f t="shared" si="25"/>
        <v>0</v>
      </c>
      <c r="Z44" s="232"/>
      <c r="AA44" s="233"/>
      <c r="AB44" s="233"/>
      <c r="AC44" s="233"/>
      <c r="AD44" s="233"/>
      <c r="AE44" s="233"/>
      <c r="AF44" s="232">
        <f t="shared" si="26"/>
        <v>0</v>
      </c>
      <c r="AH44" s="232">
        <v>4</v>
      </c>
      <c r="AI44" s="233"/>
      <c r="AJ44" s="233"/>
      <c r="AK44" s="233"/>
      <c r="AL44" s="233"/>
      <c r="AM44" s="233"/>
      <c r="AN44" s="232">
        <f t="shared" si="27"/>
        <v>4</v>
      </c>
      <c r="AP44" s="233"/>
      <c r="AQ44" s="233"/>
      <c r="AR44" s="233"/>
      <c r="AS44" s="233"/>
      <c r="AT44" s="233"/>
      <c r="AU44" s="233"/>
      <c r="AV44" s="232">
        <f t="shared" si="28"/>
        <v>0</v>
      </c>
      <c r="AX44" s="232"/>
      <c r="AY44" s="233"/>
      <c r="AZ44" s="233"/>
      <c r="BA44" s="233"/>
      <c r="BB44" s="233"/>
      <c r="BC44" s="233"/>
      <c r="BD44" s="232">
        <f t="shared" si="29"/>
        <v>0</v>
      </c>
      <c r="BF44" s="232"/>
      <c r="BG44" s="233"/>
      <c r="BH44" s="233"/>
      <c r="BI44" s="233"/>
      <c r="BJ44" s="233"/>
      <c r="BK44" s="233"/>
      <c r="BL44" s="232">
        <f t="shared" si="30"/>
        <v>0</v>
      </c>
      <c r="BN44" s="229">
        <f t="shared" si="33"/>
        <v>9</v>
      </c>
      <c r="BO44" s="229">
        <f t="shared" si="31"/>
        <v>0</v>
      </c>
      <c r="BP44" s="229">
        <f t="shared" si="31"/>
        <v>0</v>
      </c>
      <c r="BQ44" s="229">
        <f t="shared" si="31"/>
        <v>0</v>
      </c>
      <c r="BR44" s="229">
        <f t="shared" si="31"/>
        <v>0</v>
      </c>
      <c r="BS44" s="229">
        <f t="shared" si="31"/>
        <v>0</v>
      </c>
      <c r="BT44" s="232">
        <f t="shared" si="32"/>
        <v>9</v>
      </c>
    </row>
    <row r="45" spans="1:72" x14ac:dyDescent="0.25">
      <c r="A45" s="191" t="s">
        <v>196</v>
      </c>
      <c r="B45" s="232"/>
      <c r="C45" s="233"/>
      <c r="D45" s="233"/>
      <c r="E45" s="233"/>
      <c r="F45" s="233"/>
      <c r="G45" s="233"/>
      <c r="H45" s="232">
        <f t="shared" si="23"/>
        <v>0</v>
      </c>
      <c r="J45" s="232">
        <v>1</v>
      </c>
      <c r="K45" s="233"/>
      <c r="L45" s="233"/>
      <c r="M45" s="233"/>
      <c r="N45" s="233"/>
      <c r="O45" s="233"/>
      <c r="P45" s="232">
        <f t="shared" si="24"/>
        <v>1</v>
      </c>
      <c r="R45" s="232"/>
      <c r="S45" s="233"/>
      <c r="T45" s="233"/>
      <c r="U45" s="233"/>
      <c r="V45" s="233"/>
      <c r="W45" s="233"/>
      <c r="X45" s="232">
        <f t="shared" si="25"/>
        <v>0</v>
      </c>
      <c r="Z45" s="232"/>
      <c r="AA45" s="233"/>
      <c r="AB45" s="233"/>
      <c r="AC45" s="233"/>
      <c r="AD45" s="233"/>
      <c r="AE45" s="233"/>
      <c r="AF45" s="232">
        <f t="shared" si="26"/>
        <v>0</v>
      </c>
      <c r="AH45" s="232"/>
      <c r="AI45" s="233"/>
      <c r="AJ45" s="233"/>
      <c r="AK45" s="233"/>
      <c r="AL45" s="233"/>
      <c r="AM45" s="233"/>
      <c r="AN45" s="232">
        <f t="shared" si="27"/>
        <v>0</v>
      </c>
      <c r="AP45" s="233"/>
      <c r="AQ45" s="233"/>
      <c r="AR45" s="233"/>
      <c r="AS45" s="233"/>
      <c r="AT45" s="233"/>
      <c r="AU45" s="233"/>
      <c r="AV45" s="232">
        <f t="shared" si="28"/>
        <v>0</v>
      </c>
      <c r="AX45" s="232"/>
      <c r="AY45" s="233"/>
      <c r="AZ45" s="233"/>
      <c r="BA45" s="233"/>
      <c r="BB45" s="233"/>
      <c r="BC45" s="233"/>
      <c r="BD45" s="232">
        <f t="shared" si="29"/>
        <v>0</v>
      </c>
      <c r="BF45" s="232"/>
      <c r="BG45" s="233"/>
      <c r="BH45" s="233"/>
      <c r="BI45" s="233"/>
      <c r="BJ45" s="233"/>
      <c r="BK45" s="233"/>
      <c r="BL45" s="232">
        <f t="shared" si="30"/>
        <v>0</v>
      </c>
      <c r="BN45" s="229">
        <f t="shared" si="33"/>
        <v>1</v>
      </c>
      <c r="BO45" s="229">
        <f t="shared" si="31"/>
        <v>0</v>
      </c>
      <c r="BP45" s="229">
        <f t="shared" si="31"/>
        <v>0</v>
      </c>
      <c r="BQ45" s="229">
        <f t="shared" si="31"/>
        <v>0</v>
      </c>
      <c r="BR45" s="229">
        <f t="shared" si="31"/>
        <v>0</v>
      </c>
      <c r="BS45" s="229">
        <f t="shared" si="31"/>
        <v>0</v>
      </c>
      <c r="BT45" s="232">
        <f t="shared" si="32"/>
        <v>1</v>
      </c>
    </row>
    <row r="46" spans="1:72" x14ac:dyDescent="0.25">
      <c r="A46" s="191" t="s">
        <v>197</v>
      </c>
      <c r="B46" s="232">
        <v>2</v>
      </c>
      <c r="C46" s="233"/>
      <c r="D46" s="233"/>
      <c r="E46" s="233"/>
      <c r="F46" s="233"/>
      <c r="G46" s="233"/>
      <c r="H46" s="232">
        <f t="shared" si="23"/>
        <v>2</v>
      </c>
      <c r="J46" s="232">
        <v>4</v>
      </c>
      <c r="K46" s="233"/>
      <c r="L46" s="233"/>
      <c r="M46" s="233"/>
      <c r="N46" s="233"/>
      <c r="O46" s="233"/>
      <c r="P46" s="232">
        <f t="shared" si="24"/>
        <v>4</v>
      </c>
      <c r="R46" s="232">
        <v>1</v>
      </c>
      <c r="S46" s="233"/>
      <c r="T46" s="233"/>
      <c r="U46" s="233"/>
      <c r="V46" s="233"/>
      <c r="W46" s="233"/>
      <c r="X46" s="232">
        <f t="shared" si="25"/>
        <v>1</v>
      </c>
      <c r="Z46" s="232">
        <v>1</v>
      </c>
      <c r="AA46" s="233"/>
      <c r="AB46" s="233"/>
      <c r="AC46" s="233"/>
      <c r="AD46" s="233"/>
      <c r="AE46" s="233"/>
      <c r="AF46" s="232">
        <f t="shared" si="26"/>
        <v>1</v>
      </c>
      <c r="AH46" s="232">
        <v>3</v>
      </c>
      <c r="AI46" s="233"/>
      <c r="AJ46" s="233"/>
      <c r="AK46" s="233"/>
      <c r="AL46" s="233"/>
      <c r="AM46" s="233"/>
      <c r="AN46" s="232">
        <f t="shared" si="27"/>
        <v>3</v>
      </c>
      <c r="AP46" s="233">
        <v>1</v>
      </c>
      <c r="AQ46" s="233"/>
      <c r="AR46" s="233"/>
      <c r="AS46" s="233"/>
      <c r="AT46" s="233"/>
      <c r="AU46" s="233"/>
      <c r="AV46" s="232">
        <f t="shared" si="28"/>
        <v>1</v>
      </c>
      <c r="AX46" s="232">
        <v>0</v>
      </c>
      <c r="AY46" s="233"/>
      <c r="AZ46" s="233"/>
      <c r="BA46" s="233"/>
      <c r="BB46" s="233"/>
      <c r="BC46" s="233"/>
      <c r="BD46" s="232">
        <f t="shared" si="29"/>
        <v>0</v>
      </c>
      <c r="BF46" s="232">
        <v>1</v>
      </c>
      <c r="BG46" s="233"/>
      <c r="BH46" s="233"/>
      <c r="BI46" s="233"/>
      <c r="BJ46" s="233"/>
      <c r="BK46" s="233"/>
      <c r="BL46" s="232">
        <f t="shared" si="30"/>
        <v>1</v>
      </c>
      <c r="BN46" s="229">
        <f t="shared" si="33"/>
        <v>13</v>
      </c>
      <c r="BO46" s="229">
        <f t="shared" si="31"/>
        <v>0</v>
      </c>
      <c r="BP46" s="229">
        <f t="shared" si="31"/>
        <v>0</v>
      </c>
      <c r="BQ46" s="229">
        <f t="shared" si="31"/>
        <v>0</v>
      </c>
      <c r="BR46" s="229">
        <f t="shared" si="31"/>
        <v>0</v>
      </c>
      <c r="BS46" s="229">
        <f t="shared" si="31"/>
        <v>0</v>
      </c>
      <c r="BT46" s="232">
        <f t="shared" si="32"/>
        <v>13</v>
      </c>
    </row>
    <row r="47" spans="1:72" x14ac:dyDescent="0.25">
      <c r="A47" s="191" t="s">
        <v>198</v>
      </c>
      <c r="B47" s="232">
        <v>1</v>
      </c>
      <c r="C47" s="233"/>
      <c r="D47" s="233"/>
      <c r="E47" s="233"/>
      <c r="F47" s="233"/>
      <c r="G47" s="233"/>
      <c r="H47" s="232">
        <f t="shared" si="23"/>
        <v>1</v>
      </c>
      <c r="J47" s="232">
        <v>1</v>
      </c>
      <c r="K47" s="233"/>
      <c r="L47" s="233"/>
      <c r="M47" s="233"/>
      <c r="N47" s="233"/>
      <c r="O47" s="233"/>
      <c r="P47" s="232">
        <f t="shared" si="24"/>
        <v>1</v>
      </c>
      <c r="R47" s="232">
        <v>1</v>
      </c>
      <c r="S47" s="233"/>
      <c r="T47" s="233"/>
      <c r="U47" s="233"/>
      <c r="V47" s="233"/>
      <c r="W47" s="233"/>
      <c r="X47" s="232">
        <f t="shared" si="25"/>
        <v>1</v>
      </c>
      <c r="Z47" s="232">
        <v>1</v>
      </c>
      <c r="AA47" s="233"/>
      <c r="AB47" s="233"/>
      <c r="AC47" s="233"/>
      <c r="AD47" s="233"/>
      <c r="AE47" s="233"/>
      <c r="AF47" s="232">
        <f t="shared" si="26"/>
        <v>1</v>
      </c>
      <c r="AH47" s="232">
        <v>2</v>
      </c>
      <c r="AI47" s="233"/>
      <c r="AJ47" s="233"/>
      <c r="AK47" s="233"/>
      <c r="AL47" s="233"/>
      <c r="AM47" s="233"/>
      <c r="AN47" s="232">
        <f t="shared" si="27"/>
        <v>2</v>
      </c>
      <c r="AP47" s="233">
        <v>1</v>
      </c>
      <c r="AQ47" s="233"/>
      <c r="AR47" s="233"/>
      <c r="AS47" s="233"/>
      <c r="AT47" s="233"/>
      <c r="AU47" s="233"/>
      <c r="AV47" s="232">
        <f t="shared" si="28"/>
        <v>1</v>
      </c>
      <c r="AX47" s="232"/>
      <c r="AY47" s="233"/>
      <c r="AZ47" s="233"/>
      <c r="BA47" s="233"/>
      <c r="BB47" s="233"/>
      <c r="BC47" s="233"/>
      <c r="BD47" s="232">
        <f t="shared" si="29"/>
        <v>0</v>
      </c>
      <c r="BF47" s="232"/>
      <c r="BG47" s="233"/>
      <c r="BH47" s="233"/>
      <c r="BI47" s="233"/>
      <c r="BJ47" s="233"/>
      <c r="BK47" s="233"/>
      <c r="BL47" s="232">
        <f t="shared" si="30"/>
        <v>0</v>
      </c>
      <c r="BN47" s="229">
        <f t="shared" si="33"/>
        <v>7</v>
      </c>
      <c r="BO47" s="229">
        <f t="shared" si="31"/>
        <v>0</v>
      </c>
      <c r="BP47" s="229">
        <f t="shared" si="31"/>
        <v>0</v>
      </c>
      <c r="BQ47" s="229">
        <f t="shared" si="31"/>
        <v>0</v>
      </c>
      <c r="BR47" s="229">
        <f t="shared" si="31"/>
        <v>0</v>
      </c>
      <c r="BS47" s="229">
        <f t="shared" si="31"/>
        <v>0</v>
      </c>
      <c r="BT47" s="232">
        <f t="shared" si="32"/>
        <v>7</v>
      </c>
    </row>
    <row r="48" spans="1:72" x14ac:dyDescent="0.25">
      <c r="A48" s="191" t="s">
        <v>199</v>
      </c>
      <c r="B48" s="232">
        <v>1</v>
      </c>
      <c r="C48" s="233"/>
      <c r="D48" s="233"/>
      <c r="E48" s="233"/>
      <c r="F48" s="233"/>
      <c r="G48" s="233"/>
      <c r="H48" s="232">
        <f t="shared" si="23"/>
        <v>1</v>
      </c>
      <c r="J48" s="233">
        <v>2</v>
      </c>
      <c r="K48" s="233"/>
      <c r="L48" s="233"/>
      <c r="M48" s="233"/>
      <c r="N48" s="233"/>
      <c r="O48" s="233"/>
      <c r="P48" s="232">
        <f t="shared" si="24"/>
        <v>2</v>
      </c>
      <c r="R48" s="233">
        <v>1</v>
      </c>
      <c r="S48" s="233"/>
      <c r="T48" s="233"/>
      <c r="U48" s="233"/>
      <c r="V48" s="233"/>
      <c r="W48" s="233"/>
      <c r="X48" s="232">
        <f t="shared" si="25"/>
        <v>1</v>
      </c>
      <c r="Z48" s="232">
        <v>1</v>
      </c>
      <c r="AA48" s="233"/>
      <c r="AB48" s="233"/>
      <c r="AC48" s="233"/>
      <c r="AD48" s="233"/>
      <c r="AE48" s="233"/>
      <c r="AF48" s="232">
        <f t="shared" si="26"/>
        <v>1</v>
      </c>
      <c r="AH48" s="233">
        <v>2</v>
      </c>
      <c r="AI48" s="233"/>
      <c r="AJ48" s="233"/>
      <c r="AK48" s="233"/>
      <c r="AL48" s="233"/>
      <c r="AM48" s="233"/>
      <c r="AN48" s="232">
        <f t="shared" si="27"/>
        <v>2</v>
      </c>
      <c r="AP48" s="233">
        <v>1</v>
      </c>
      <c r="AQ48" s="233"/>
      <c r="AR48" s="233"/>
      <c r="AS48" s="233"/>
      <c r="AT48" s="233"/>
      <c r="AU48" s="233"/>
      <c r="AV48" s="232">
        <f t="shared" si="28"/>
        <v>1</v>
      </c>
      <c r="AX48" s="232">
        <v>0</v>
      </c>
      <c r="AY48" s="233"/>
      <c r="AZ48" s="233"/>
      <c r="BA48" s="233"/>
      <c r="BB48" s="233"/>
      <c r="BC48" s="233"/>
      <c r="BD48" s="232">
        <f t="shared" si="29"/>
        <v>0</v>
      </c>
      <c r="BF48" s="232"/>
      <c r="BG48" s="233"/>
      <c r="BH48" s="233"/>
      <c r="BI48" s="233"/>
      <c r="BJ48" s="233"/>
      <c r="BK48" s="233"/>
      <c r="BL48" s="232">
        <f t="shared" si="30"/>
        <v>0</v>
      </c>
      <c r="BN48" s="229">
        <f t="shared" si="33"/>
        <v>8</v>
      </c>
      <c r="BO48" s="229">
        <f t="shared" si="31"/>
        <v>0</v>
      </c>
      <c r="BP48" s="229">
        <f t="shared" si="31"/>
        <v>0</v>
      </c>
      <c r="BQ48" s="229">
        <f t="shared" si="31"/>
        <v>0</v>
      </c>
      <c r="BR48" s="229">
        <f t="shared" si="31"/>
        <v>0</v>
      </c>
      <c r="BS48" s="229">
        <f t="shared" si="31"/>
        <v>0</v>
      </c>
      <c r="BT48" s="232">
        <f t="shared" si="32"/>
        <v>8</v>
      </c>
    </row>
    <row r="49" spans="1:72" x14ac:dyDescent="0.25">
      <c r="A49" s="191" t="s">
        <v>200</v>
      </c>
      <c r="B49" s="232">
        <v>2</v>
      </c>
      <c r="C49" s="233"/>
      <c r="D49" s="233"/>
      <c r="E49" s="233"/>
      <c r="F49" s="233"/>
      <c r="G49" s="233"/>
      <c r="H49" s="232">
        <f t="shared" si="23"/>
        <v>2</v>
      </c>
      <c r="J49" s="307">
        <v>2</v>
      </c>
      <c r="K49" s="233"/>
      <c r="L49" s="233"/>
      <c r="M49" s="233"/>
      <c r="N49" s="233"/>
      <c r="O49" s="233"/>
      <c r="P49" s="232">
        <f t="shared" si="24"/>
        <v>2</v>
      </c>
      <c r="R49" s="232">
        <v>1</v>
      </c>
      <c r="S49" s="233"/>
      <c r="T49" s="233"/>
      <c r="U49" s="233"/>
      <c r="V49" s="233"/>
      <c r="W49" s="233"/>
      <c r="X49" s="232">
        <f t="shared" si="25"/>
        <v>1</v>
      </c>
      <c r="Z49" s="232">
        <v>1</v>
      </c>
      <c r="AA49" s="233"/>
      <c r="AB49" s="233"/>
      <c r="AC49" s="233"/>
      <c r="AD49" s="233"/>
      <c r="AE49" s="233"/>
      <c r="AF49" s="232">
        <f t="shared" si="26"/>
        <v>1</v>
      </c>
      <c r="AH49" s="307">
        <v>2</v>
      </c>
      <c r="AI49" s="233"/>
      <c r="AJ49" s="233"/>
      <c r="AK49" s="233"/>
      <c r="AL49" s="233"/>
      <c r="AM49" s="233"/>
      <c r="AN49" s="232">
        <f t="shared" si="27"/>
        <v>2</v>
      </c>
      <c r="AP49" s="233">
        <v>1</v>
      </c>
      <c r="AQ49" s="233"/>
      <c r="AR49" s="233"/>
      <c r="AS49" s="233"/>
      <c r="AT49" s="233"/>
      <c r="AU49" s="233"/>
      <c r="AV49" s="232">
        <f t="shared" si="28"/>
        <v>1</v>
      </c>
      <c r="AX49" s="232">
        <v>0</v>
      </c>
      <c r="AY49" s="233"/>
      <c r="AZ49" s="233"/>
      <c r="BA49" s="233"/>
      <c r="BB49" s="233"/>
      <c r="BC49" s="233"/>
      <c r="BD49" s="232">
        <f t="shared" si="29"/>
        <v>0</v>
      </c>
      <c r="BF49" s="232">
        <v>1</v>
      </c>
      <c r="BG49" s="233"/>
      <c r="BH49" s="233"/>
      <c r="BI49" s="233"/>
      <c r="BJ49" s="233"/>
      <c r="BK49" s="233"/>
      <c r="BL49" s="232">
        <f t="shared" si="30"/>
        <v>1</v>
      </c>
      <c r="BN49" s="229">
        <f t="shared" si="33"/>
        <v>10</v>
      </c>
      <c r="BO49" s="229">
        <f t="shared" si="31"/>
        <v>0</v>
      </c>
      <c r="BP49" s="229">
        <f t="shared" si="31"/>
        <v>0</v>
      </c>
      <c r="BQ49" s="229">
        <f t="shared" si="31"/>
        <v>0</v>
      </c>
      <c r="BR49" s="229">
        <f t="shared" si="31"/>
        <v>0</v>
      </c>
      <c r="BS49" s="229">
        <f t="shared" si="31"/>
        <v>0</v>
      </c>
      <c r="BT49" s="232">
        <f t="shared" si="32"/>
        <v>10</v>
      </c>
    </row>
    <row r="50" spans="1:72" x14ac:dyDescent="0.25">
      <c r="A50" s="191" t="s">
        <v>201</v>
      </c>
      <c r="B50" s="307">
        <v>3</v>
      </c>
      <c r="C50" s="233">
        <v>4</v>
      </c>
      <c r="D50" s="233"/>
      <c r="E50" s="233"/>
      <c r="F50" s="233"/>
      <c r="G50" s="233"/>
      <c r="H50" s="232">
        <f>SUM(B50:G50)</f>
        <v>7</v>
      </c>
      <c r="J50" s="307">
        <v>8</v>
      </c>
      <c r="K50" s="233">
        <v>12</v>
      </c>
      <c r="L50" s="233"/>
      <c r="M50" s="233"/>
      <c r="N50" s="233"/>
      <c r="O50" s="233"/>
      <c r="P50" s="232">
        <f>SUM(J50:O50)</f>
        <v>20</v>
      </c>
      <c r="R50" s="307">
        <v>5</v>
      </c>
      <c r="S50" s="233">
        <v>4</v>
      </c>
      <c r="T50" s="233"/>
      <c r="U50" s="233"/>
      <c r="V50" s="233"/>
      <c r="W50" s="233"/>
      <c r="X50" s="232">
        <f>SUM(R50:W50)</f>
        <v>9</v>
      </c>
      <c r="Z50" s="307">
        <v>4</v>
      </c>
      <c r="AA50" s="233">
        <v>5</v>
      </c>
      <c r="AB50" s="233"/>
      <c r="AC50" s="233"/>
      <c r="AD50" s="233"/>
      <c r="AE50" s="233"/>
      <c r="AF50" s="232">
        <f>SUM(Z50:AE50)</f>
        <v>9</v>
      </c>
      <c r="AH50" s="308">
        <v>4.5</v>
      </c>
      <c r="AI50" s="233">
        <v>12</v>
      </c>
      <c r="AJ50" s="233"/>
      <c r="AK50" s="233"/>
      <c r="AL50" s="233"/>
      <c r="AM50" s="233"/>
      <c r="AN50" s="232">
        <f>SUM(AH50:AM50)</f>
        <v>16.5</v>
      </c>
      <c r="AP50" s="233">
        <v>1</v>
      </c>
      <c r="AQ50" s="233">
        <v>4</v>
      </c>
      <c r="AR50" s="233"/>
      <c r="AS50" s="233"/>
      <c r="AT50" s="233">
        <v>4</v>
      </c>
      <c r="AU50" s="233"/>
      <c r="AV50" s="232">
        <f>SUM(AP50:AU50)</f>
        <v>9</v>
      </c>
      <c r="AX50" s="233">
        <v>3</v>
      </c>
      <c r="AY50" s="233">
        <v>1</v>
      </c>
      <c r="AZ50" s="233"/>
      <c r="BA50" s="233"/>
      <c r="BB50" s="233">
        <v>1</v>
      </c>
      <c r="BC50" s="233"/>
      <c r="BD50" s="232">
        <f>SUM(AX50:BC50)</f>
        <v>5</v>
      </c>
      <c r="BF50" s="233"/>
      <c r="BG50" s="233"/>
      <c r="BH50" s="233"/>
      <c r="BI50" s="233"/>
      <c r="BJ50" s="233"/>
      <c r="BK50" s="233"/>
      <c r="BL50" s="232">
        <f>SUM(BF50:BK50)</f>
        <v>0</v>
      </c>
      <c r="BN50" s="229">
        <f t="shared" si="33"/>
        <v>28.5</v>
      </c>
      <c r="BO50" s="229">
        <f t="shared" si="31"/>
        <v>42</v>
      </c>
      <c r="BP50" s="229">
        <f t="shared" si="31"/>
        <v>0</v>
      </c>
      <c r="BQ50" s="229">
        <f t="shared" si="31"/>
        <v>0</v>
      </c>
      <c r="BR50" s="229">
        <f t="shared" si="31"/>
        <v>5</v>
      </c>
      <c r="BS50" s="229">
        <f t="shared" si="31"/>
        <v>0</v>
      </c>
      <c r="BT50" s="232">
        <f>SUM(BN50:BS50)</f>
        <v>75.5</v>
      </c>
    </row>
    <row r="51" spans="1:72" x14ac:dyDescent="0.25">
      <c r="A51" s="191" t="s">
        <v>202</v>
      </c>
      <c r="B51" s="233">
        <v>2</v>
      </c>
      <c r="C51" s="233"/>
      <c r="D51" s="233"/>
      <c r="E51" s="233"/>
      <c r="F51" s="233"/>
      <c r="G51" s="233"/>
      <c r="H51" s="232">
        <f t="shared" si="23"/>
        <v>2</v>
      </c>
      <c r="J51" s="233">
        <f>6+2</f>
        <v>8</v>
      </c>
      <c r="K51" s="233"/>
      <c r="L51" s="233"/>
      <c r="M51" s="233"/>
      <c r="N51" s="233"/>
      <c r="O51" s="233"/>
      <c r="P51" s="232">
        <f t="shared" si="24"/>
        <v>8</v>
      </c>
      <c r="R51" s="233">
        <v>3</v>
      </c>
      <c r="S51" s="233"/>
      <c r="T51" s="233"/>
      <c r="U51" s="233"/>
      <c r="V51" s="233"/>
      <c r="W51" s="233"/>
      <c r="X51" s="232">
        <f t="shared" si="25"/>
        <v>3</v>
      </c>
      <c r="Z51" s="233">
        <v>3</v>
      </c>
      <c r="AA51" s="233"/>
      <c r="AB51" s="233"/>
      <c r="AC51" s="233"/>
      <c r="AD51" s="233"/>
      <c r="AE51" s="233"/>
      <c r="AF51" s="232">
        <f t="shared" si="26"/>
        <v>3</v>
      </c>
      <c r="AH51" s="233">
        <v>8</v>
      </c>
      <c r="AI51" s="233"/>
      <c r="AJ51" s="233"/>
      <c r="AK51" s="233"/>
      <c r="AL51" s="233"/>
      <c r="AM51" s="233"/>
      <c r="AN51" s="232">
        <f t="shared" si="27"/>
        <v>8</v>
      </c>
      <c r="AP51" s="233">
        <v>2</v>
      </c>
      <c r="AQ51" s="233"/>
      <c r="AR51" s="233"/>
      <c r="AS51" s="233"/>
      <c r="AT51" s="233"/>
      <c r="AU51" s="233"/>
      <c r="AV51" s="232">
        <f t="shared" si="28"/>
        <v>2</v>
      </c>
      <c r="AX51" s="233">
        <v>0</v>
      </c>
      <c r="AY51" s="233"/>
      <c r="AZ51" s="233"/>
      <c r="BA51" s="233"/>
      <c r="BB51" s="233"/>
      <c r="BC51" s="233"/>
      <c r="BD51" s="232">
        <f t="shared" si="29"/>
        <v>0</v>
      </c>
      <c r="BF51" s="233"/>
      <c r="BG51" s="233"/>
      <c r="BH51" s="233"/>
      <c r="BI51" s="233"/>
      <c r="BJ51" s="233"/>
      <c r="BK51" s="233"/>
      <c r="BL51" s="232">
        <f t="shared" si="30"/>
        <v>0</v>
      </c>
      <c r="BN51" s="229">
        <f t="shared" si="33"/>
        <v>26</v>
      </c>
      <c r="BO51" s="229">
        <f t="shared" si="31"/>
        <v>0</v>
      </c>
      <c r="BP51" s="229">
        <f t="shared" si="31"/>
        <v>0</v>
      </c>
      <c r="BQ51" s="229">
        <f t="shared" si="31"/>
        <v>0</v>
      </c>
      <c r="BR51" s="229">
        <f t="shared" si="31"/>
        <v>0</v>
      </c>
      <c r="BS51" s="229">
        <f t="shared" si="31"/>
        <v>0</v>
      </c>
      <c r="BT51" s="232">
        <f t="shared" ref="BT51:BT60" si="34">SUM(BN51:BS51)</f>
        <v>26</v>
      </c>
    </row>
    <row r="52" spans="1:72" x14ac:dyDescent="0.25">
      <c r="A52" s="191" t="s">
        <v>323</v>
      </c>
      <c r="B52" s="233"/>
      <c r="C52" s="233"/>
      <c r="D52" s="233">
        <v>2</v>
      </c>
      <c r="E52" s="233"/>
      <c r="F52" s="233"/>
      <c r="G52" s="233"/>
      <c r="H52" s="232">
        <f t="shared" si="23"/>
        <v>2</v>
      </c>
      <c r="J52" s="233"/>
      <c r="K52" s="233"/>
      <c r="L52" s="233">
        <v>6</v>
      </c>
      <c r="M52" s="233"/>
      <c r="N52" s="233"/>
      <c r="O52" s="233"/>
      <c r="P52" s="232">
        <f t="shared" si="24"/>
        <v>6</v>
      </c>
      <c r="R52" s="233"/>
      <c r="S52" s="233"/>
      <c r="T52" s="233">
        <v>2</v>
      </c>
      <c r="U52" s="233"/>
      <c r="V52" s="233"/>
      <c r="W52" s="233"/>
      <c r="X52" s="232">
        <f t="shared" si="25"/>
        <v>2</v>
      </c>
      <c r="Z52" s="233"/>
      <c r="AA52" s="233"/>
      <c r="AB52" s="233">
        <v>2</v>
      </c>
      <c r="AC52" s="233"/>
      <c r="AD52" s="233"/>
      <c r="AE52" s="233"/>
      <c r="AF52" s="232">
        <f t="shared" si="26"/>
        <v>2</v>
      </c>
      <c r="AH52" s="233"/>
      <c r="AI52" s="233"/>
      <c r="AJ52" s="233">
        <v>4</v>
      </c>
      <c r="AK52" s="233"/>
      <c r="AL52" s="233"/>
      <c r="AM52" s="233"/>
      <c r="AN52" s="232">
        <f t="shared" si="27"/>
        <v>4</v>
      </c>
      <c r="AP52" s="233"/>
      <c r="AQ52" s="233"/>
      <c r="AR52" s="233">
        <v>1</v>
      </c>
      <c r="AS52" s="233"/>
      <c r="AT52" s="233"/>
      <c r="AU52" s="233"/>
      <c r="AV52" s="232">
        <f t="shared" si="28"/>
        <v>1</v>
      </c>
      <c r="AX52" s="233"/>
      <c r="AY52" s="233"/>
      <c r="AZ52" s="233">
        <v>0</v>
      </c>
      <c r="BA52" s="233"/>
      <c r="BB52" s="233"/>
      <c r="BC52" s="233"/>
      <c r="BD52" s="232">
        <f t="shared" si="29"/>
        <v>0</v>
      </c>
      <c r="BF52" s="233"/>
      <c r="BG52" s="233"/>
      <c r="BH52" s="233">
        <v>1</v>
      </c>
      <c r="BI52" s="233"/>
      <c r="BJ52" s="233"/>
      <c r="BK52" s="233"/>
      <c r="BL52" s="232">
        <f t="shared" si="30"/>
        <v>1</v>
      </c>
      <c r="BN52" s="229">
        <f t="shared" si="33"/>
        <v>0</v>
      </c>
      <c r="BO52" s="229">
        <f t="shared" si="31"/>
        <v>0</v>
      </c>
      <c r="BP52" s="229">
        <f t="shared" si="31"/>
        <v>18</v>
      </c>
      <c r="BQ52" s="229">
        <f t="shared" si="31"/>
        <v>0</v>
      </c>
      <c r="BR52" s="229">
        <f t="shared" si="31"/>
        <v>0</v>
      </c>
      <c r="BS52" s="229">
        <f t="shared" si="31"/>
        <v>0</v>
      </c>
      <c r="BT52" s="232">
        <f t="shared" si="34"/>
        <v>18</v>
      </c>
    </row>
    <row r="53" spans="1:72" x14ac:dyDescent="0.25">
      <c r="A53" s="191" t="s">
        <v>203</v>
      </c>
      <c r="B53" s="233"/>
      <c r="C53" s="233"/>
      <c r="D53" s="233"/>
      <c r="E53" s="233"/>
      <c r="F53" s="233"/>
      <c r="G53" s="233"/>
      <c r="H53" s="232">
        <f t="shared" si="23"/>
        <v>0</v>
      </c>
      <c r="J53" s="233">
        <v>1</v>
      </c>
      <c r="K53" s="233"/>
      <c r="L53" s="233"/>
      <c r="M53" s="233"/>
      <c r="N53" s="233"/>
      <c r="O53" s="233"/>
      <c r="P53" s="232">
        <f t="shared" si="24"/>
        <v>1</v>
      </c>
      <c r="R53" s="233">
        <v>1</v>
      </c>
      <c r="S53" s="233"/>
      <c r="T53" s="233"/>
      <c r="U53" s="233"/>
      <c r="V53" s="233"/>
      <c r="W53" s="233"/>
      <c r="X53" s="232">
        <f t="shared" si="25"/>
        <v>1</v>
      </c>
      <c r="Z53" s="233"/>
      <c r="AA53" s="233"/>
      <c r="AB53" s="233"/>
      <c r="AC53" s="233"/>
      <c r="AD53" s="233"/>
      <c r="AE53" s="233"/>
      <c r="AF53" s="232">
        <f t="shared" si="26"/>
        <v>0</v>
      </c>
      <c r="AH53" s="233"/>
      <c r="AI53" s="233"/>
      <c r="AJ53" s="233"/>
      <c r="AK53" s="233"/>
      <c r="AL53" s="233"/>
      <c r="AM53" s="233"/>
      <c r="AN53" s="232">
        <f t="shared" si="27"/>
        <v>0</v>
      </c>
      <c r="AP53" s="233"/>
      <c r="AQ53" s="233"/>
      <c r="AR53" s="233"/>
      <c r="AS53" s="233"/>
      <c r="AT53" s="233"/>
      <c r="AU53" s="233">
        <v>0</v>
      </c>
      <c r="AV53" s="232">
        <f t="shared" si="28"/>
        <v>0</v>
      </c>
      <c r="AX53" s="233"/>
      <c r="AY53" s="233"/>
      <c r="AZ53" s="233"/>
      <c r="BA53" s="233"/>
      <c r="BB53" s="233"/>
      <c r="BC53" s="233">
        <v>0</v>
      </c>
      <c r="BD53" s="232">
        <f t="shared" si="29"/>
        <v>0</v>
      </c>
      <c r="BF53" s="233"/>
      <c r="BG53" s="233"/>
      <c r="BH53" s="233"/>
      <c r="BI53" s="233"/>
      <c r="BJ53" s="233"/>
      <c r="BK53" s="233"/>
      <c r="BL53" s="232">
        <f t="shared" si="30"/>
        <v>0</v>
      </c>
      <c r="BN53" s="229">
        <f t="shared" si="33"/>
        <v>2</v>
      </c>
      <c r="BO53" s="229">
        <f t="shared" si="31"/>
        <v>0</v>
      </c>
      <c r="BP53" s="229">
        <f t="shared" si="31"/>
        <v>0</v>
      </c>
      <c r="BQ53" s="229">
        <f t="shared" si="31"/>
        <v>0</v>
      </c>
      <c r="BR53" s="229">
        <f t="shared" si="31"/>
        <v>0</v>
      </c>
      <c r="BS53" s="229">
        <f t="shared" si="31"/>
        <v>0</v>
      </c>
      <c r="BT53" s="232">
        <f t="shared" si="34"/>
        <v>2</v>
      </c>
    </row>
    <row r="54" spans="1:72" x14ac:dyDescent="0.25">
      <c r="A54" s="194" t="s">
        <v>204</v>
      </c>
      <c r="B54" s="233"/>
      <c r="C54" s="233">
        <v>1</v>
      </c>
      <c r="D54" s="233"/>
      <c r="E54" s="233"/>
      <c r="F54" s="233"/>
      <c r="G54" s="233"/>
      <c r="H54" s="232">
        <f t="shared" si="23"/>
        <v>1</v>
      </c>
      <c r="J54" s="233"/>
      <c r="K54" s="233">
        <v>1</v>
      </c>
      <c r="L54" s="233"/>
      <c r="M54" s="233"/>
      <c r="N54" s="233"/>
      <c r="O54" s="233"/>
      <c r="P54" s="232">
        <f t="shared" si="24"/>
        <v>1</v>
      </c>
      <c r="R54" s="233"/>
      <c r="S54" s="233">
        <v>1</v>
      </c>
      <c r="T54" s="233"/>
      <c r="U54" s="233"/>
      <c r="V54" s="233"/>
      <c r="W54" s="233"/>
      <c r="X54" s="232">
        <f t="shared" si="25"/>
        <v>1</v>
      </c>
      <c r="Z54" s="233"/>
      <c r="AA54" s="233">
        <v>1</v>
      </c>
      <c r="AB54" s="233"/>
      <c r="AC54" s="233"/>
      <c r="AD54" s="233"/>
      <c r="AE54" s="233"/>
      <c r="AF54" s="232">
        <f t="shared" si="26"/>
        <v>1</v>
      </c>
      <c r="AH54" s="233"/>
      <c r="AI54" s="233"/>
      <c r="AJ54" s="233"/>
      <c r="AK54" s="233"/>
      <c r="AL54" s="233"/>
      <c r="AM54" s="233"/>
      <c r="AN54" s="232">
        <f t="shared" si="27"/>
        <v>0</v>
      </c>
      <c r="AP54" s="233"/>
      <c r="AQ54" s="233">
        <v>1</v>
      </c>
      <c r="AR54" s="233"/>
      <c r="AS54" s="233"/>
      <c r="AT54" s="233"/>
      <c r="AU54" s="233"/>
      <c r="AV54" s="232">
        <f t="shared" si="28"/>
        <v>1</v>
      </c>
      <c r="AX54" s="233"/>
      <c r="AY54" s="233"/>
      <c r="AZ54" s="233"/>
      <c r="BA54" s="233"/>
      <c r="BB54" s="233"/>
      <c r="BC54" s="233"/>
      <c r="BD54" s="232">
        <f t="shared" si="29"/>
        <v>0</v>
      </c>
      <c r="BF54" s="233"/>
      <c r="BG54" s="233"/>
      <c r="BH54" s="233"/>
      <c r="BI54" s="233"/>
      <c r="BJ54" s="233"/>
      <c r="BK54" s="233"/>
      <c r="BL54" s="232">
        <f t="shared" si="30"/>
        <v>0</v>
      </c>
      <c r="BN54" s="229">
        <f t="shared" si="33"/>
        <v>0</v>
      </c>
      <c r="BO54" s="229">
        <f t="shared" si="31"/>
        <v>5</v>
      </c>
      <c r="BP54" s="229">
        <f t="shared" si="31"/>
        <v>0</v>
      </c>
      <c r="BQ54" s="229">
        <f t="shared" si="31"/>
        <v>0</v>
      </c>
      <c r="BR54" s="229">
        <f t="shared" si="31"/>
        <v>0</v>
      </c>
      <c r="BS54" s="229">
        <f t="shared" si="31"/>
        <v>0</v>
      </c>
      <c r="BT54" s="232">
        <f t="shared" si="34"/>
        <v>5</v>
      </c>
    </row>
    <row r="55" spans="1:72" x14ac:dyDescent="0.25">
      <c r="A55" s="194" t="s">
        <v>205</v>
      </c>
      <c r="B55" s="233"/>
      <c r="C55" s="233"/>
      <c r="D55" s="233"/>
      <c r="E55" s="233"/>
      <c r="F55" s="233"/>
      <c r="G55" s="233"/>
      <c r="H55" s="232">
        <f t="shared" si="23"/>
        <v>0</v>
      </c>
      <c r="J55" s="233"/>
      <c r="K55" s="233">
        <v>1</v>
      </c>
      <c r="L55" s="233"/>
      <c r="M55" s="233"/>
      <c r="N55" s="233"/>
      <c r="O55" s="233"/>
      <c r="P55" s="232">
        <f t="shared" si="24"/>
        <v>1</v>
      </c>
      <c r="R55" s="233"/>
      <c r="S55" s="233"/>
      <c r="T55" s="233"/>
      <c r="U55" s="233"/>
      <c r="V55" s="233"/>
      <c r="W55" s="233"/>
      <c r="X55" s="232">
        <f t="shared" si="25"/>
        <v>0</v>
      </c>
      <c r="Z55" s="233"/>
      <c r="AA55" s="233">
        <v>1</v>
      </c>
      <c r="AB55" s="233"/>
      <c r="AC55" s="233"/>
      <c r="AD55" s="233"/>
      <c r="AE55" s="233"/>
      <c r="AF55" s="232">
        <f t="shared" si="26"/>
        <v>1</v>
      </c>
      <c r="AH55" s="233"/>
      <c r="AI55" s="233"/>
      <c r="AJ55" s="233"/>
      <c r="AK55" s="233"/>
      <c r="AL55" s="233"/>
      <c r="AM55" s="233"/>
      <c r="AN55" s="232">
        <f t="shared" si="27"/>
        <v>0</v>
      </c>
      <c r="AP55" s="233"/>
      <c r="AQ55" s="233"/>
      <c r="AR55" s="233"/>
      <c r="AS55" s="233"/>
      <c r="AT55" s="233"/>
      <c r="AU55" s="233"/>
      <c r="AV55" s="232">
        <f t="shared" si="28"/>
        <v>0</v>
      </c>
      <c r="AX55" s="233"/>
      <c r="AY55" s="233"/>
      <c r="AZ55" s="233"/>
      <c r="BA55" s="233"/>
      <c r="BB55" s="233"/>
      <c r="BC55" s="233"/>
      <c r="BD55" s="232">
        <f t="shared" si="29"/>
        <v>0</v>
      </c>
      <c r="BF55" s="233"/>
      <c r="BG55" s="233"/>
      <c r="BH55" s="233"/>
      <c r="BI55" s="233"/>
      <c r="BJ55" s="233"/>
      <c r="BK55" s="233"/>
      <c r="BL55" s="232">
        <f t="shared" si="30"/>
        <v>0</v>
      </c>
      <c r="BN55" s="229">
        <f t="shared" si="33"/>
        <v>0</v>
      </c>
      <c r="BO55" s="229">
        <f t="shared" si="33"/>
        <v>2</v>
      </c>
      <c r="BP55" s="229">
        <f t="shared" si="33"/>
        <v>0</v>
      </c>
      <c r="BQ55" s="229">
        <f t="shared" si="33"/>
        <v>0</v>
      </c>
      <c r="BR55" s="229">
        <f t="shared" si="33"/>
        <v>0</v>
      </c>
      <c r="BS55" s="229">
        <f t="shared" si="33"/>
        <v>0</v>
      </c>
      <c r="BT55" s="232">
        <f t="shared" si="34"/>
        <v>2</v>
      </c>
    </row>
    <row r="56" spans="1:72" x14ac:dyDescent="0.25">
      <c r="A56" s="194" t="s">
        <v>206</v>
      </c>
      <c r="B56" s="233"/>
      <c r="C56" s="233"/>
      <c r="D56" s="233"/>
      <c r="E56" s="233"/>
      <c r="F56" s="233"/>
      <c r="G56" s="233"/>
      <c r="H56" s="232">
        <f t="shared" si="23"/>
        <v>0</v>
      </c>
      <c r="J56" s="233"/>
      <c r="K56" s="233">
        <v>1</v>
      </c>
      <c r="L56" s="233"/>
      <c r="M56" s="233"/>
      <c r="N56" s="233"/>
      <c r="O56" s="233"/>
      <c r="P56" s="232">
        <f t="shared" si="24"/>
        <v>1</v>
      </c>
      <c r="R56" s="233"/>
      <c r="S56" s="233">
        <v>0.5</v>
      </c>
      <c r="T56" s="233"/>
      <c r="U56" s="233"/>
      <c r="V56" s="233"/>
      <c r="W56" s="233"/>
      <c r="X56" s="232">
        <f t="shared" si="25"/>
        <v>0.5</v>
      </c>
      <c r="Z56" s="233"/>
      <c r="AA56" s="233">
        <v>0.5</v>
      </c>
      <c r="AB56" s="233"/>
      <c r="AC56" s="233"/>
      <c r="AD56" s="233"/>
      <c r="AE56" s="233"/>
      <c r="AF56" s="232">
        <f t="shared" si="26"/>
        <v>0.5</v>
      </c>
      <c r="AH56" s="233"/>
      <c r="AI56" s="233">
        <v>1</v>
      </c>
      <c r="AJ56" s="233"/>
      <c r="AK56" s="233"/>
      <c r="AL56" s="233"/>
      <c r="AM56" s="233"/>
      <c r="AN56" s="232">
        <f t="shared" si="27"/>
        <v>1</v>
      </c>
      <c r="AP56" s="233"/>
      <c r="AQ56" s="233"/>
      <c r="AR56" s="233"/>
      <c r="AS56" s="233"/>
      <c r="AT56" s="233"/>
      <c r="AU56" s="233"/>
      <c r="AV56" s="232">
        <f t="shared" si="28"/>
        <v>0</v>
      </c>
      <c r="AX56" s="233"/>
      <c r="AY56" s="233"/>
      <c r="AZ56" s="233"/>
      <c r="BA56" s="233"/>
      <c r="BB56" s="233"/>
      <c r="BC56" s="233"/>
      <c r="BD56" s="232">
        <f t="shared" si="29"/>
        <v>0</v>
      </c>
      <c r="BF56" s="233"/>
      <c r="BG56" s="233"/>
      <c r="BH56" s="233"/>
      <c r="BI56" s="233"/>
      <c r="BJ56" s="233"/>
      <c r="BK56" s="233"/>
      <c r="BL56" s="232">
        <f t="shared" si="30"/>
        <v>0</v>
      </c>
      <c r="BN56" s="229">
        <f t="shared" si="33"/>
        <v>0</v>
      </c>
      <c r="BO56" s="229">
        <f t="shared" si="33"/>
        <v>3</v>
      </c>
      <c r="BP56" s="229">
        <f t="shared" si="33"/>
        <v>0</v>
      </c>
      <c r="BQ56" s="229">
        <f t="shared" si="33"/>
        <v>0</v>
      </c>
      <c r="BR56" s="229">
        <f t="shared" si="33"/>
        <v>0</v>
      </c>
      <c r="BS56" s="229">
        <f t="shared" si="33"/>
        <v>0</v>
      </c>
      <c r="BT56" s="232">
        <f t="shared" si="34"/>
        <v>3</v>
      </c>
    </row>
    <row r="57" spans="1:72" x14ac:dyDescent="0.25">
      <c r="A57" s="194" t="s">
        <v>207</v>
      </c>
      <c r="B57" s="233"/>
      <c r="C57" s="233"/>
      <c r="D57" s="233"/>
      <c r="E57" s="233"/>
      <c r="F57" s="233"/>
      <c r="G57" s="233"/>
      <c r="H57" s="232">
        <f t="shared" si="23"/>
        <v>0</v>
      </c>
      <c r="J57" s="233"/>
      <c r="K57" s="233">
        <v>0</v>
      </c>
      <c r="L57" s="233"/>
      <c r="M57" s="233"/>
      <c r="N57" s="233"/>
      <c r="O57" s="233"/>
      <c r="P57" s="232">
        <f t="shared" si="24"/>
        <v>0</v>
      </c>
      <c r="R57" s="233"/>
      <c r="S57" s="233"/>
      <c r="T57" s="233"/>
      <c r="U57" s="233"/>
      <c r="V57" s="233"/>
      <c r="W57" s="233"/>
      <c r="X57" s="232">
        <f t="shared" si="25"/>
        <v>0</v>
      </c>
      <c r="Z57" s="233"/>
      <c r="AA57" s="233">
        <v>0.33</v>
      </c>
      <c r="AB57" s="233"/>
      <c r="AC57" s="233"/>
      <c r="AD57" s="233"/>
      <c r="AE57" s="233"/>
      <c r="AF57" s="232">
        <f t="shared" si="26"/>
        <v>0.33</v>
      </c>
      <c r="AH57" s="233"/>
      <c r="AI57" s="233">
        <v>0.5</v>
      </c>
      <c r="AJ57" s="233"/>
      <c r="AK57" s="233"/>
      <c r="AL57" s="233"/>
      <c r="AM57" s="233"/>
      <c r="AN57" s="232">
        <f t="shared" si="27"/>
        <v>0.5</v>
      </c>
      <c r="AP57" s="233"/>
      <c r="AQ57" s="233"/>
      <c r="AR57" s="233"/>
      <c r="AS57" s="233"/>
      <c r="AT57" s="233"/>
      <c r="AU57" s="233"/>
      <c r="AV57" s="232">
        <f t="shared" si="28"/>
        <v>0</v>
      </c>
      <c r="AX57" s="233"/>
      <c r="AY57" s="233"/>
      <c r="AZ57" s="233"/>
      <c r="BA57" s="233"/>
      <c r="BB57" s="233"/>
      <c r="BC57" s="233"/>
      <c r="BD57" s="232">
        <f t="shared" si="29"/>
        <v>0</v>
      </c>
      <c r="BF57" s="233"/>
      <c r="BG57" s="233"/>
      <c r="BH57" s="233"/>
      <c r="BI57" s="233"/>
      <c r="BJ57" s="233"/>
      <c r="BK57" s="233"/>
      <c r="BL57" s="232">
        <f t="shared" si="30"/>
        <v>0</v>
      </c>
      <c r="BN57" s="229">
        <f t="shared" si="33"/>
        <v>0</v>
      </c>
      <c r="BO57" s="229">
        <f t="shared" si="33"/>
        <v>0.83000000000000007</v>
      </c>
      <c r="BP57" s="229">
        <f t="shared" si="33"/>
        <v>0</v>
      </c>
      <c r="BQ57" s="229">
        <f t="shared" si="33"/>
        <v>0</v>
      </c>
      <c r="BR57" s="229">
        <f t="shared" si="33"/>
        <v>0</v>
      </c>
      <c r="BS57" s="229">
        <f t="shared" si="33"/>
        <v>0</v>
      </c>
      <c r="BT57" s="232">
        <f t="shared" si="34"/>
        <v>0.83000000000000007</v>
      </c>
    </row>
    <row r="58" spans="1:72" x14ac:dyDescent="0.25">
      <c r="A58" s="194" t="s">
        <v>208</v>
      </c>
      <c r="B58" s="233"/>
      <c r="C58" s="233"/>
      <c r="D58" s="233"/>
      <c r="E58" s="233"/>
      <c r="F58" s="233"/>
      <c r="G58" s="233"/>
      <c r="H58" s="232">
        <f t="shared" si="23"/>
        <v>0</v>
      </c>
      <c r="J58" s="233">
        <v>1</v>
      </c>
      <c r="K58" s="233"/>
      <c r="L58" s="233"/>
      <c r="M58" s="233"/>
      <c r="N58" s="233"/>
      <c r="O58" s="233"/>
      <c r="P58" s="232">
        <f t="shared" si="24"/>
        <v>1</v>
      </c>
      <c r="R58" s="233">
        <v>0.5</v>
      </c>
      <c r="S58" s="233"/>
      <c r="T58" s="233"/>
      <c r="U58" s="233"/>
      <c r="V58" s="233"/>
      <c r="W58" s="233"/>
      <c r="X58" s="232">
        <f t="shared" si="25"/>
        <v>0.5</v>
      </c>
      <c r="Z58" s="233">
        <v>0.5</v>
      </c>
      <c r="AA58" s="233"/>
      <c r="AB58" s="233"/>
      <c r="AC58" s="233"/>
      <c r="AD58" s="233"/>
      <c r="AE58" s="233"/>
      <c r="AF58" s="232">
        <f t="shared" si="26"/>
        <v>0.5</v>
      </c>
      <c r="AH58" s="233">
        <v>1</v>
      </c>
      <c r="AI58" s="233"/>
      <c r="AJ58" s="233"/>
      <c r="AK58" s="233"/>
      <c r="AL58" s="233"/>
      <c r="AM58" s="233"/>
      <c r="AN58" s="232">
        <f t="shared" si="27"/>
        <v>1</v>
      </c>
      <c r="AP58" s="233"/>
      <c r="AQ58" s="233"/>
      <c r="AR58" s="233"/>
      <c r="AS58" s="233"/>
      <c r="AT58" s="233"/>
      <c r="AU58" s="233"/>
      <c r="AV58" s="232">
        <f t="shared" si="28"/>
        <v>0</v>
      </c>
      <c r="AX58" s="233"/>
      <c r="AY58" s="233"/>
      <c r="AZ58" s="233"/>
      <c r="BA58" s="233"/>
      <c r="BB58" s="233"/>
      <c r="BC58" s="233"/>
      <c r="BD58" s="232">
        <f t="shared" si="29"/>
        <v>0</v>
      </c>
      <c r="BF58" s="233"/>
      <c r="BG58" s="233"/>
      <c r="BH58" s="233"/>
      <c r="BI58" s="233"/>
      <c r="BJ58" s="233"/>
      <c r="BK58" s="233"/>
      <c r="BL58" s="232">
        <f t="shared" si="30"/>
        <v>0</v>
      </c>
      <c r="BN58" s="229">
        <f t="shared" si="33"/>
        <v>3</v>
      </c>
      <c r="BO58" s="229">
        <f t="shared" si="33"/>
        <v>0</v>
      </c>
      <c r="BP58" s="229">
        <f t="shared" si="33"/>
        <v>0</v>
      </c>
      <c r="BQ58" s="229">
        <f t="shared" si="33"/>
        <v>0</v>
      </c>
      <c r="BR58" s="229">
        <f t="shared" si="33"/>
        <v>0</v>
      </c>
      <c r="BS58" s="229">
        <f t="shared" si="33"/>
        <v>0</v>
      </c>
      <c r="BT58" s="232">
        <f t="shared" si="34"/>
        <v>3</v>
      </c>
    </row>
    <row r="59" spans="1:72" x14ac:dyDescent="0.25">
      <c r="A59" s="194" t="s">
        <v>209</v>
      </c>
      <c r="B59" s="233">
        <v>1</v>
      </c>
      <c r="C59" s="233"/>
      <c r="D59" s="233"/>
      <c r="E59" s="233"/>
      <c r="F59" s="233"/>
      <c r="G59" s="233"/>
      <c r="H59" s="232">
        <f t="shared" si="23"/>
        <v>1</v>
      </c>
      <c r="J59" s="233">
        <v>3</v>
      </c>
      <c r="K59" s="233"/>
      <c r="L59" s="233"/>
      <c r="M59" s="233"/>
      <c r="N59" s="233"/>
      <c r="O59" s="233"/>
      <c r="P59" s="232">
        <f t="shared" si="24"/>
        <v>3</v>
      </c>
      <c r="R59" s="233">
        <v>1</v>
      </c>
      <c r="S59" s="233"/>
      <c r="T59" s="233"/>
      <c r="U59" s="233"/>
      <c r="V59" s="233"/>
      <c r="W59" s="233"/>
      <c r="X59" s="232">
        <f t="shared" si="25"/>
        <v>1</v>
      </c>
      <c r="Z59" s="233">
        <v>2</v>
      </c>
      <c r="AA59" s="233"/>
      <c r="AB59" s="233"/>
      <c r="AC59" s="233"/>
      <c r="AD59" s="233"/>
      <c r="AE59" s="233"/>
      <c r="AF59" s="232">
        <f t="shared" si="26"/>
        <v>2</v>
      </c>
      <c r="AH59" s="233">
        <v>4</v>
      </c>
      <c r="AI59" s="233"/>
      <c r="AJ59" s="233"/>
      <c r="AK59" s="233"/>
      <c r="AL59" s="233"/>
      <c r="AM59" s="233"/>
      <c r="AN59" s="232">
        <f t="shared" si="27"/>
        <v>4</v>
      </c>
      <c r="AP59" s="233">
        <v>0</v>
      </c>
      <c r="AQ59" s="233"/>
      <c r="AR59" s="233"/>
      <c r="AS59" s="233"/>
      <c r="AT59" s="233"/>
      <c r="AU59" s="233"/>
      <c r="AV59" s="232">
        <f t="shared" si="28"/>
        <v>0</v>
      </c>
      <c r="AX59" s="233">
        <v>0</v>
      </c>
      <c r="AY59" s="233"/>
      <c r="AZ59" s="233"/>
      <c r="BA59" s="233"/>
      <c r="BB59" s="233"/>
      <c r="BC59" s="233"/>
      <c r="BD59" s="232">
        <f t="shared" si="29"/>
        <v>0</v>
      </c>
      <c r="BF59" s="233"/>
      <c r="BG59" s="233"/>
      <c r="BH59" s="233"/>
      <c r="BI59" s="233"/>
      <c r="BJ59" s="233"/>
      <c r="BK59" s="233"/>
      <c r="BL59" s="232">
        <f t="shared" si="30"/>
        <v>0</v>
      </c>
      <c r="BN59" s="229">
        <f t="shared" si="33"/>
        <v>11</v>
      </c>
      <c r="BO59" s="229">
        <f t="shared" si="33"/>
        <v>0</v>
      </c>
      <c r="BP59" s="229">
        <f t="shared" si="33"/>
        <v>0</v>
      </c>
      <c r="BQ59" s="229">
        <f t="shared" si="33"/>
        <v>0</v>
      </c>
      <c r="BR59" s="229">
        <f t="shared" si="33"/>
        <v>0</v>
      </c>
      <c r="BS59" s="229">
        <f t="shared" si="33"/>
        <v>0</v>
      </c>
      <c r="BT59" s="232">
        <f t="shared" si="34"/>
        <v>11</v>
      </c>
    </row>
    <row r="60" spans="1:72" x14ac:dyDescent="0.25">
      <c r="A60" s="191" t="s">
        <v>210</v>
      </c>
      <c r="B60" s="232"/>
      <c r="C60" s="232"/>
      <c r="D60" s="232"/>
      <c r="E60" s="232"/>
      <c r="F60" s="232"/>
      <c r="G60" s="232"/>
      <c r="H60" s="232">
        <f t="shared" si="23"/>
        <v>0</v>
      </c>
      <c r="J60" s="232">
        <v>1</v>
      </c>
      <c r="K60" s="232"/>
      <c r="L60" s="232"/>
      <c r="M60" s="232"/>
      <c r="N60" s="232"/>
      <c r="O60" s="232"/>
      <c r="P60" s="232">
        <f t="shared" si="24"/>
        <v>1</v>
      </c>
      <c r="R60" s="232"/>
      <c r="S60" s="232"/>
      <c r="T60" s="232"/>
      <c r="U60" s="232"/>
      <c r="V60" s="232"/>
      <c r="W60" s="232"/>
      <c r="X60" s="232">
        <f t="shared" si="25"/>
        <v>0</v>
      </c>
      <c r="Z60" s="232">
        <v>1</v>
      </c>
      <c r="AA60" s="232"/>
      <c r="AB60" s="232"/>
      <c r="AC60" s="232"/>
      <c r="AD60" s="232"/>
      <c r="AE60" s="232"/>
      <c r="AF60" s="232">
        <f t="shared" si="26"/>
        <v>1</v>
      </c>
      <c r="AH60" s="233">
        <v>1</v>
      </c>
      <c r="AI60" s="232"/>
      <c r="AJ60" s="232"/>
      <c r="AK60" s="232"/>
      <c r="AL60" s="232"/>
      <c r="AM60" s="232"/>
      <c r="AN60" s="232">
        <f t="shared" si="27"/>
        <v>1</v>
      </c>
      <c r="AP60" s="232">
        <v>0</v>
      </c>
      <c r="AQ60" s="232"/>
      <c r="AR60" s="232"/>
      <c r="AS60" s="232"/>
      <c r="AT60" s="232"/>
      <c r="AU60" s="232"/>
      <c r="AV60" s="232">
        <f t="shared" si="28"/>
        <v>0</v>
      </c>
      <c r="AX60" s="232">
        <v>0</v>
      </c>
      <c r="AY60" s="232"/>
      <c r="AZ60" s="232"/>
      <c r="BA60" s="232"/>
      <c r="BB60" s="232"/>
      <c r="BC60" s="232"/>
      <c r="BD60" s="232">
        <f t="shared" si="29"/>
        <v>0</v>
      </c>
      <c r="BF60" s="232"/>
      <c r="BG60" s="232"/>
      <c r="BH60" s="232"/>
      <c r="BI60" s="232"/>
      <c r="BJ60" s="232"/>
      <c r="BK60" s="232"/>
      <c r="BL60" s="232">
        <f t="shared" si="30"/>
        <v>0</v>
      </c>
      <c r="BN60" s="229">
        <f t="shared" si="33"/>
        <v>3</v>
      </c>
      <c r="BO60" s="229">
        <f t="shared" si="33"/>
        <v>0</v>
      </c>
      <c r="BP60" s="229">
        <f t="shared" si="33"/>
        <v>0</v>
      </c>
      <c r="BQ60" s="229">
        <f t="shared" si="33"/>
        <v>0</v>
      </c>
      <c r="BR60" s="229">
        <f t="shared" si="33"/>
        <v>0</v>
      </c>
      <c r="BS60" s="229">
        <f t="shared" si="33"/>
        <v>0</v>
      </c>
      <c r="BT60" s="232">
        <f t="shared" si="34"/>
        <v>3</v>
      </c>
    </row>
    <row r="61" spans="1:72" x14ac:dyDescent="0.25">
      <c r="A61" s="189" t="s">
        <v>211</v>
      </c>
      <c r="B61" s="234">
        <f t="shared" ref="B61:H61" si="35">SUM(B39:B60)</f>
        <v>16</v>
      </c>
      <c r="C61" s="234">
        <f t="shared" si="35"/>
        <v>6</v>
      </c>
      <c r="D61" s="234">
        <f t="shared" si="35"/>
        <v>2</v>
      </c>
      <c r="E61" s="234">
        <f t="shared" si="35"/>
        <v>0</v>
      </c>
      <c r="F61" s="234">
        <f t="shared" si="35"/>
        <v>1</v>
      </c>
      <c r="G61" s="234">
        <f t="shared" si="35"/>
        <v>0</v>
      </c>
      <c r="H61" s="234">
        <f t="shared" si="35"/>
        <v>25</v>
      </c>
      <c r="J61" s="234">
        <f t="shared" ref="J61:P61" si="36">SUM(J39:J60)</f>
        <v>52</v>
      </c>
      <c r="K61" s="234">
        <f t="shared" si="36"/>
        <v>15</v>
      </c>
      <c r="L61" s="234">
        <f t="shared" si="36"/>
        <v>6</v>
      </c>
      <c r="M61" s="234">
        <f t="shared" si="36"/>
        <v>0</v>
      </c>
      <c r="N61" s="234">
        <f t="shared" si="36"/>
        <v>0</v>
      </c>
      <c r="O61" s="234">
        <f t="shared" si="36"/>
        <v>0</v>
      </c>
      <c r="P61" s="234">
        <f t="shared" si="36"/>
        <v>73</v>
      </c>
      <c r="R61" s="234">
        <f t="shared" ref="R61:X61" si="37">SUM(R39:R60)</f>
        <v>20.5</v>
      </c>
      <c r="S61" s="234">
        <f t="shared" si="37"/>
        <v>5.5</v>
      </c>
      <c r="T61" s="234">
        <f t="shared" si="37"/>
        <v>2</v>
      </c>
      <c r="U61" s="234">
        <f t="shared" si="37"/>
        <v>0</v>
      </c>
      <c r="V61" s="234">
        <f t="shared" si="37"/>
        <v>0</v>
      </c>
      <c r="W61" s="234">
        <f t="shared" si="37"/>
        <v>0</v>
      </c>
      <c r="X61" s="234">
        <f t="shared" si="37"/>
        <v>28</v>
      </c>
      <c r="Z61" s="234">
        <f t="shared" ref="Z61:AF61" si="38">SUM(Z39:Z60)</f>
        <v>20.5</v>
      </c>
      <c r="AA61" s="234">
        <f t="shared" si="38"/>
        <v>7.83</v>
      </c>
      <c r="AB61" s="234">
        <f t="shared" si="38"/>
        <v>2</v>
      </c>
      <c r="AC61" s="234">
        <f t="shared" si="38"/>
        <v>0</v>
      </c>
      <c r="AD61" s="234">
        <f t="shared" si="38"/>
        <v>0</v>
      </c>
      <c r="AE61" s="234">
        <f t="shared" si="38"/>
        <v>0</v>
      </c>
      <c r="AF61" s="234">
        <f t="shared" si="38"/>
        <v>30.33</v>
      </c>
      <c r="AH61" s="234">
        <f t="shared" ref="AH61:AN61" si="39">SUM(AH39:AH60)</f>
        <v>41.5</v>
      </c>
      <c r="AI61" s="234">
        <f t="shared" si="39"/>
        <v>13.5</v>
      </c>
      <c r="AJ61" s="234">
        <f t="shared" si="39"/>
        <v>4</v>
      </c>
      <c r="AK61" s="234">
        <f t="shared" si="39"/>
        <v>0</v>
      </c>
      <c r="AL61" s="234">
        <f t="shared" si="39"/>
        <v>0</v>
      </c>
      <c r="AM61" s="234">
        <f t="shared" si="39"/>
        <v>0</v>
      </c>
      <c r="AN61" s="234">
        <f t="shared" si="39"/>
        <v>59</v>
      </c>
      <c r="AP61" s="234">
        <f t="shared" ref="AP61:AV61" si="40">SUM(AP39:AP60)</f>
        <v>12</v>
      </c>
      <c r="AQ61" s="234">
        <f t="shared" si="40"/>
        <v>5</v>
      </c>
      <c r="AR61" s="234">
        <f t="shared" si="40"/>
        <v>1</v>
      </c>
      <c r="AS61" s="234">
        <f t="shared" si="40"/>
        <v>0</v>
      </c>
      <c r="AT61" s="234">
        <f t="shared" si="40"/>
        <v>4</v>
      </c>
      <c r="AU61" s="234">
        <f t="shared" si="40"/>
        <v>0</v>
      </c>
      <c r="AV61" s="234">
        <f t="shared" si="40"/>
        <v>22</v>
      </c>
      <c r="AX61" s="234">
        <f t="shared" ref="AX61:BD61" si="41">SUM(AX39:AX60)</f>
        <v>4</v>
      </c>
      <c r="AY61" s="234">
        <f t="shared" si="41"/>
        <v>1</v>
      </c>
      <c r="AZ61" s="234">
        <f t="shared" si="41"/>
        <v>0</v>
      </c>
      <c r="BA61" s="234">
        <f t="shared" si="41"/>
        <v>0</v>
      </c>
      <c r="BB61" s="234">
        <f t="shared" si="41"/>
        <v>1</v>
      </c>
      <c r="BC61" s="234">
        <f t="shared" si="41"/>
        <v>0</v>
      </c>
      <c r="BD61" s="234">
        <f t="shared" si="41"/>
        <v>6</v>
      </c>
      <c r="BF61" s="234">
        <f t="shared" ref="BF61:BL61" si="42">SUM(BF39:BF60)</f>
        <v>3</v>
      </c>
      <c r="BG61" s="234">
        <f t="shared" si="42"/>
        <v>0</v>
      </c>
      <c r="BH61" s="234">
        <f t="shared" si="42"/>
        <v>1</v>
      </c>
      <c r="BI61" s="234">
        <f t="shared" si="42"/>
        <v>0</v>
      </c>
      <c r="BJ61" s="234">
        <f t="shared" si="42"/>
        <v>1</v>
      </c>
      <c r="BK61" s="234">
        <f t="shared" si="42"/>
        <v>0</v>
      </c>
      <c r="BL61" s="234">
        <f t="shared" si="42"/>
        <v>5</v>
      </c>
      <c r="BN61" s="234">
        <f t="shared" ref="BN61:BT61" si="43">SUM(BN39:BN60)</f>
        <v>169.5</v>
      </c>
      <c r="BO61" s="234">
        <f t="shared" si="43"/>
        <v>53.83</v>
      </c>
      <c r="BP61" s="234">
        <f t="shared" si="43"/>
        <v>18</v>
      </c>
      <c r="BQ61" s="234">
        <f t="shared" si="43"/>
        <v>0</v>
      </c>
      <c r="BR61" s="234">
        <f t="shared" si="43"/>
        <v>7</v>
      </c>
      <c r="BS61" s="234">
        <f t="shared" si="43"/>
        <v>0</v>
      </c>
      <c r="BT61" s="234">
        <f t="shared" si="43"/>
        <v>248.33</v>
      </c>
    </row>
    <row r="62" spans="1:72" ht="16.5" thickBot="1" x14ac:dyDescent="0.3">
      <c r="A62" s="195"/>
      <c r="B62" s="235"/>
      <c r="C62" s="235"/>
      <c r="D62" s="235"/>
      <c r="E62" s="235"/>
      <c r="F62" s="235"/>
      <c r="G62" s="235"/>
      <c r="H62" s="235"/>
      <c r="J62" s="235"/>
      <c r="K62" s="235"/>
      <c r="L62" s="235"/>
      <c r="M62" s="235"/>
      <c r="N62" s="235"/>
      <c r="O62" s="235"/>
      <c r="P62" s="235"/>
      <c r="R62" s="235"/>
      <c r="S62" s="235"/>
      <c r="T62" s="235"/>
      <c r="U62" s="235"/>
      <c r="V62" s="235"/>
      <c r="W62" s="235"/>
      <c r="X62" s="235"/>
      <c r="Z62" s="235"/>
      <c r="AA62" s="235"/>
      <c r="AB62" s="235"/>
      <c r="AC62" s="235"/>
      <c r="AD62" s="235"/>
      <c r="AE62" s="235"/>
      <c r="AF62" s="235"/>
      <c r="AH62" s="235"/>
      <c r="AI62" s="235"/>
      <c r="AJ62" s="235"/>
      <c r="AK62" s="235"/>
      <c r="AL62" s="235"/>
      <c r="AM62" s="235"/>
      <c r="AN62" s="235"/>
      <c r="AP62" s="235"/>
      <c r="AQ62" s="235"/>
      <c r="AR62" s="235"/>
      <c r="AS62" s="235"/>
      <c r="AT62" s="235"/>
      <c r="AU62" s="235"/>
      <c r="AV62" s="235"/>
      <c r="AX62" s="235"/>
      <c r="AY62" s="235"/>
      <c r="AZ62" s="235"/>
      <c r="BA62" s="235"/>
      <c r="BB62" s="235"/>
      <c r="BC62" s="235"/>
      <c r="BD62" s="235"/>
      <c r="BF62" s="235"/>
      <c r="BG62" s="235"/>
      <c r="BH62" s="235"/>
      <c r="BI62" s="235"/>
      <c r="BJ62" s="235"/>
      <c r="BK62" s="235"/>
      <c r="BL62" s="235"/>
      <c r="BN62" s="235"/>
      <c r="BO62" s="235"/>
      <c r="BP62" s="235"/>
      <c r="BQ62" s="235"/>
      <c r="BR62" s="235"/>
      <c r="BS62" s="235"/>
      <c r="BT62" s="235"/>
    </row>
    <row r="63" spans="1:72" x14ac:dyDescent="0.25">
      <c r="A63" s="196" t="s">
        <v>212</v>
      </c>
      <c r="B63" s="236">
        <f>B36+B41+B43+B50</f>
        <v>46</v>
      </c>
      <c r="C63" s="236">
        <f>C36+C41+C43+C50</f>
        <v>9</v>
      </c>
      <c r="D63" s="236">
        <f t="shared" ref="D63:G63" si="44">D36+D41+D43+D50</f>
        <v>0</v>
      </c>
      <c r="E63" s="236">
        <f t="shared" si="44"/>
        <v>0</v>
      </c>
      <c r="F63" s="236">
        <f t="shared" si="44"/>
        <v>1</v>
      </c>
      <c r="G63" s="236">
        <f t="shared" si="44"/>
        <v>0</v>
      </c>
      <c r="H63" s="236">
        <f t="shared" ref="H63" si="45">H36</f>
        <v>47</v>
      </c>
      <c r="J63" s="236">
        <f>J36+J41+J43+J50</f>
        <v>113</v>
      </c>
      <c r="K63" s="236">
        <f>K36+K41+K43+K50</f>
        <v>25</v>
      </c>
      <c r="L63" s="236">
        <f t="shared" ref="L63:O63" si="46">L36+L41+L43+L50</f>
        <v>0</v>
      </c>
      <c r="M63" s="236">
        <f t="shared" si="46"/>
        <v>0</v>
      </c>
      <c r="N63" s="236">
        <f t="shared" si="46"/>
        <v>0</v>
      </c>
      <c r="O63" s="236">
        <f t="shared" si="46"/>
        <v>0</v>
      </c>
      <c r="P63" s="236">
        <f t="shared" ref="P63" si="47">P36</f>
        <v>114</v>
      </c>
      <c r="R63" s="236">
        <f>R36+R41+R43+R50</f>
        <v>50</v>
      </c>
      <c r="S63" s="236">
        <f>S36+S41+S43+S50</f>
        <v>8</v>
      </c>
      <c r="T63" s="236">
        <f t="shared" ref="T63:W63" si="48">T36+T41+T43+T50</f>
        <v>0</v>
      </c>
      <c r="U63" s="236">
        <f t="shared" si="48"/>
        <v>0</v>
      </c>
      <c r="V63" s="236">
        <f t="shared" si="48"/>
        <v>0</v>
      </c>
      <c r="W63" s="236">
        <f t="shared" si="48"/>
        <v>0</v>
      </c>
      <c r="X63" s="236">
        <f t="shared" ref="X63" si="49">X36</f>
        <v>48</v>
      </c>
      <c r="Z63" s="236">
        <f>Z36+Z41+Z43+Z50</f>
        <v>63</v>
      </c>
      <c r="AA63" s="236">
        <f>AA36+AA41+AA43+AA50</f>
        <v>10</v>
      </c>
      <c r="AB63" s="236">
        <f t="shared" ref="AB63:AE63" si="50">AB36+AB41+AB43+AB50</f>
        <v>0</v>
      </c>
      <c r="AC63" s="236">
        <f t="shared" si="50"/>
        <v>0</v>
      </c>
      <c r="AD63" s="236">
        <f t="shared" si="50"/>
        <v>0</v>
      </c>
      <c r="AE63" s="236">
        <f t="shared" si="50"/>
        <v>0</v>
      </c>
      <c r="AF63" s="236">
        <f t="shared" ref="AF63" si="51">AF36</f>
        <v>61</v>
      </c>
      <c r="AH63" s="236">
        <f>AH36+AH41+AH43+AH50</f>
        <v>107.5</v>
      </c>
      <c r="AI63" s="236">
        <f>AI36+AI41+AI43+AI50</f>
        <v>25</v>
      </c>
      <c r="AJ63" s="236">
        <f t="shared" ref="AJ63:AM63" si="52">AJ36+AJ41+AJ43+AJ50</f>
        <v>0</v>
      </c>
      <c r="AK63" s="236">
        <f t="shared" si="52"/>
        <v>0</v>
      </c>
      <c r="AL63" s="236">
        <f t="shared" si="52"/>
        <v>0</v>
      </c>
      <c r="AM63" s="236">
        <f t="shared" si="52"/>
        <v>0</v>
      </c>
      <c r="AN63" s="236">
        <f t="shared" ref="AN63" si="53">AN36</f>
        <v>114</v>
      </c>
      <c r="AP63" s="236">
        <f>AP36+AP41+AP43+AP50</f>
        <v>41</v>
      </c>
      <c r="AQ63" s="236">
        <f>AQ36+AQ41+AQ43+AQ50</f>
        <v>8</v>
      </c>
      <c r="AR63" s="236">
        <f t="shared" ref="AR63:AU63" si="54">AR36+AR41+AR43+AR50</f>
        <v>0</v>
      </c>
      <c r="AS63" s="236">
        <f t="shared" si="54"/>
        <v>0</v>
      </c>
      <c r="AT63" s="236">
        <f t="shared" si="54"/>
        <v>4</v>
      </c>
      <c r="AU63" s="236">
        <f t="shared" si="54"/>
        <v>0</v>
      </c>
      <c r="AV63" s="236">
        <f t="shared" ref="AV63" si="55">AV36</f>
        <v>42</v>
      </c>
      <c r="AX63" s="236">
        <f>AX36+AX41+AX43+AX50</f>
        <v>4</v>
      </c>
      <c r="AY63" s="236">
        <f>AY36+AY41+AY43+AY50</f>
        <v>2</v>
      </c>
      <c r="AZ63" s="236">
        <f t="shared" ref="AZ63:BC63" si="56">AZ36+AZ41+AZ43+AZ50</f>
        <v>0</v>
      </c>
      <c r="BA63" s="236">
        <f t="shared" si="56"/>
        <v>0</v>
      </c>
      <c r="BB63" s="236">
        <f t="shared" si="56"/>
        <v>1</v>
      </c>
      <c r="BC63" s="236">
        <f t="shared" si="56"/>
        <v>0</v>
      </c>
      <c r="BD63" s="236">
        <f t="shared" ref="BD63" si="57">BD36</f>
        <v>1</v>
      </c>
      <c r="BF63" s="236">
        <f>BF36+BF41+BF43+BF50</f>
        <v>1</v>
      </c>
      <c r="BG63" s="236">
        <f>BG36+BG41+BG43+BG50</f>
        <v>0</v>
      </c>
      <c r="BH63" s="236">
        <f t="shared" ref="BH63:BK63" si="58">BH36+BH41+BH43+BH50</f>
        <v>0</v>
      </c>
      <c r="BI63" s="236">
        <f t="shared" si="58"/>
        <v>0</v>
      </c>
      <c r="BJ63" s="236">
        <f t="shared" si="58"/>
        <v>1</v>
      </c>
      <c r="BK63" s="236">
        <f t="shared" si="58"/>
        <v>0</v>
      </c>
      <c r="BL63" s="236">
        <f t="shared" ref="BL63" si="59">BL36</f>
        <v>1</v>
      </c>
      <c r="BN63" s="236">
        <f>BN36+BN41+BN43+BN50</f>
        <v>425.5</v>
      </c>
      <c r="BO63" s="236">
        <f>BO36+BO41+BO43+BO50</f>
        <v>87</v>
      </c>
      <c r="BP63" s="236">
        <f t="shared" ref="BP63:BS63" si="60">BP36+BP41+BP43+BP50</f>
        <v>0</v>
      </c>
      <c r="BQ63" s="236">
        <f t="shared" si="60"/>
        <v>0</v>
      </c>
      <c r="BR63" s="236">
        <f t="shared" si="60"/>
        <v>7</v>
      </c>
      <c r="BS63" s="236">
        <f t="shared" si="60"/>
        <v>0</v>
      </c>
      <c r="BT63" s="236">
        <f t="shared" ref="BT63" si="61">BT36</f>
        <v>428</v>
      </c>
    </row>
    <row r="64" spans="1:72" x14ac:dyDescent="0.25">
      <c r="A64" s="197" t="s">
        <v>213</v>
      </c>
      <c r="B64" s="237">
        <f>B61-B41-B43-B50</f>
        <v>12</v>
      </c>
      <c r="C64" s="237">
        <f t="shared" ref="C64:G64" si="62">C61-C41-C43-C50</f>
        <v>2</v>
      </c>
      <c r="D64" s="237">
        <f t="shared" si="62"/>
        <v>2</v>
      </c>
      <c r="E64" s="237">
        <f t="shared" si="62"/>
        <v>0</v>
      </c>
      <c r="F64" s="237">
        <f t="shared" si="62"/>
        <v>0</v>
      </c>
      <c r="G64" s="237">
        <f t="shared" si="62"/>
        <v>0</v>
      </c>
      <c r="H64" s="237">
        <f t="shared" ref="H64" si="63">H61</f>
        <v>25</v>
      </c>
      <c r="J64" s="237">
        <f>J61-J41-J43-J50</f>
        <v>40</v>
      </c>
      <c r="K64" s="237">
        <f t="shared" ref="K64:O64" si="64">K61-K41-K43-K50</f>
        <v>3</v>
      </c>
      <c r="L64" s="237">
        <f t="shared" si="64"/>
        <v>6</v>
      </c>
      <c r="M64" s="237">
        <f t="shared" si="64"/>
        <v>0</v>
      </c>
      <c r="N64" s="237">
        <f t="shared" si="64"/>
        <v>0</v>
      </c>
      <c r="O64" s="237">
        <f t="shared" si="64"/>
        <v>0</v>
      </c>
      <c r="P64" s="237">
        <f t="shared" ref="P64" si="65">P61</f>
        <v>73</v>
      </c>
      <c r="R64" s="237">
        <f>R61-R41-R43-R50</f>
        <v>14.5</v>
      </c>
      <c r="S64" s="237">
        <f t="shared" ref="S64:W64" si="66">S61-S41-S43-S50</f>
        <v>1.5</v>
      </c>
      <c r="T64" s="237">
        <f t="shared" si="66"/>
        <v>2</v>
      </c>
      <c r="U64" s="237">
        <f t="shared" si="66"/>
        <v>0</v>
      </c>
      <c r="V64" s="237">
        <f t="shared" si="66"/>
        <v>0</v>
      </c>
      <c r="W64" s="237">
        <f t="shared" si="66"/>
        <v>0</v>
      </c>
      <c r="X64" s="237">
        <f t="shared" ref="X64" si="67">X61</f>
        <v>28</v>
      </c>
      <c r="Z64" s="237">
        <f>Z61-Z41-Z43-Z50</f>
        <v>13.5</v>
      </c>
      <c r="AA64" s="237">
        <f t="shared" ref="AA64:AE64" si="68">AA61-AA41-AA43-AA50</f>
        <v>2.83</v>
      </c>
      <c r="AB64" s="237">
        <f t="shared" si="68"/>
        <v>2</v>
      </c>
      <c r="AC64" s="237">
        <f t="shared" si="68"/>
        <v>0</v>
      </c>
      <c r="AD64" s="237">
        <f t="shared" si="68"/>
        <v>0</v>
      </c>
      <c r="AE64" s="237">
        <f t="shared" si="68"/>
        <v>0</v>
      </c>
      <c r="AF64" s="237">
        <f t="shared" ref="AF64" si="69">AF61</f>
        <v>30.33</v>
      </c>
      <c r="AH64" s="237">
        <f>AH61-AH41-AH43-AH50</f>
        <v>35</v>
      </c>
      <c r="AI64" s="237">
        <f t="shared" ref="AI64:AM64" si="70">AI61-AI41-AI43-AI50</f>
        <v>1.5</v>
      </c>
      <c r="AJ64" s="237">
        <f t="shared" si="70"/>
        <v>4</v>
      </c>
      <c r="AK64" s="237">
        <f t="shared" si="70"/>
        <v>0</v>
      </c>
      <c r="AL64" s="237">
        <f t="shared" si="70"/>
        <v>0</v>
      </c>
      <c r="AM64" s="237">
        <f t="shared" si="70"/>
        <v>0</v>
      </c>
      <c r="AN64" s="237">
        <f t="shared" ref="AN64" si="71">AN61</f>
        <v>59</v>
      </c>
      <c r="AP64" s="237">
        <f>AP61-AP41-AP43-AP50</f>
        <v>9</v>
      </c>
      <c r="AQ64" s="237">
        <f t="shared" ref="AQ64:AU64" si="72">AQ61-AQ41-AQ43-AQ50</f>
        <v>1</v>
      </c>
      <c r="AR64" s="237">
        <f t="shared" si="72"/>
        <v>1</v>
      </c>
      <c r="AS64" s="237">
        <f t="shared" si="72"/>
        <v>0</v>
      </c>
      <c r="AT64" s="237">
        <f t="shared" si="72"/>
        <v>0</v>
      </c>
      <c r="AU64" s="237">
        <f t="shared" si="72"/>
        <v>0</v>
      </c>
      <c r="AV64" s="237">
        <f t="shared" ref="AV64" si="73">AV61</f>
        <v>22</v>
      </c>
      <c r="AX64" s="237">
        <f>AX61-AX41-AX43-AX50</f>
        <v>0</v>
      </c>
      <c r="AY64" s="237">
        <f t="shared" ref="AY64:BC64" si="74">AY61-AY41-AY43-AY50</f>
        <v>0</v>
      </c>
      <c r="AZ64" s="237">
        <f t="shared" si="74"/>
        <v>0</v>
      </c>
      <c r="BA64" s="237">
        <f t="shared" si="74"/>
        <v>0</v>
      </c>
      <c r="BB64" s="237">
        <f t="shared" si="74"/>
        <v>0</v>
      </c>
      <c r="BC64" s="237">
        <f t="shared" si="74"/>
        <v>0</v>
      </c>
      <c r="BD64" s="237">
        <f t="shared" ref="BD64" si="75">BD61</f>
        <v>6</v>
      </c>
      <c r="BF64" s="237">
        <f>BF61-BF41-BF43-BF50</f>
        <v>3</v>
      </c>
      <c r="BG64" s="237">
        <f t="shared" ref="BG64:BK64" si="76">BG61-BG41-BG43-BG50</f>
        <v>0</v>
      </c>
      <c r="BH64" s="237">
        <f t="shared" si="76"/>
        <v>1</v>
      </c>
      <c r="BI64" s="237">
        <f t="shared" si="76"/>
        <v>0</v>
      </c>
      <c r="BJ64" s="237">
        <f t="shared" si="76"/>
        <v>0</v>
      </c>
      <c r="BK64" s="237">
        <f t="shared" si="76"/>
        <v>0</v>
      </c>
      <c r="BL64" s="237">
        <f t="shared" ref="BL64" si="77">BL61</f>
        <v>5</v>
      </c>
      <c r="BN64" s="237">
        <f>BN61-BN41-BN43-BN50</f>
        <v>127</v>
      </c>
      <c r="BO64" s="237">
        <f t="shared" ref="BO64:BS64" si="78">BO61-BO41-BO43-BO50</f>
        <v>11.829999999999998</v>
      </c>
      <c r="BP64" s="237">
        <f t="shared" si="78"/>
        <v>18</v>
      </c>
      <c r="BQ64" s="237">
        <f t="shared" si="78"/>
        <v>0</v>
      </c>
      <c r="BR64" s="237">
        <f t="shared" si="78"/>
        <v>0</v>
      </c>
      <c r="BS64" s="237">
        <f t="shared" si="78"/>
        <v>0</v>
      </c>
      <c r="BT64" s="237">
        <f t="shared" ref="BT64" si="79">BT61</f>
        <v>248.33</v>
      </c>
    </row>
    <row r="65" spans="1:72" ht="16.5" thickBot="1" x14ac:dyDescent="0.3">
      <c r="A65" s="198" t="s">
        <v>214</v>
      </c>
      <c r="B65" s="238">
        <f>SUM(B63:B64)</f>
        <v>58</v>
      </c>
      <c r="C65" s="238">
        <f t="shared" ref="C65:G65" si="80">SUM(C63:C64)</f>
        <v>11</v>
      </c>
      <c r="D65" s="238">
        <f t="shared" si="80"/>
        <v>2</v>
      </c>
      <c r="E65" s="238">
        <f t="shared" si="80"/>
        <v>0</v>
      </c>
      <c r="F65" s="238">
        <f t="shared" si="80"/>
        <v>1</v>
      </c>
      <c r="G65" s="238">
        <f t="shared" si="80"/>
        <v>0</v>
      </c>
      <c r="H65" s="238">
        <f>SUM(H63:H64)</f>
        <v>72</v>
      </c>
      <c r="J65" s="238">
        <f>SUM(J63:J64)</f>
        <v>153</v>
      </c>
      <c r="K65" s="238">
        <f t="shared" ref="K65:O65" si="81">SUM(K63:K64)</f>
        <v>28</v>
      </c>
      <c r="L65" s="238">
        <f t="shared" si="81"/>
        <v>6</v>
      </c>
      <c r="M65" s="238">
        <f t="shared" si="81"/>
        <v>0</v>
      </c>
      <c r="N65" s="238">
        <f t="shared" si="81"/>
        <v>0</v>
      </c>
      <c r="O65" s="238">
        <f t="shared" si="81"/>
        <v>0</v>
      </c>
      <c r="P65" s="238">
        <f>SUM(P63:P64)</f>
        <v>187</v>
      </c>
      <c r="R65" s="238">
        <f>SUM(R63:R64)</f>
        <v>64.5</v>
      </c>
      <c r="S65" s="238">
        <f t="shared" ref="S65:W65" si="82">SUM(S63:S64)</f>
        <v>9.5</v>
      </c>
      <c r="T65" s="238">
        <f t="shared" si="82"/>
        <v>2</v>
      </c>
      <c r="U65" s="238">
        <f t="shared" si="82"/>
        <v>0</v>
      </c>
      <c r="V65" s="238">
        <f t="shared" si="82"/>
        <v>0</v>
      </c>
      <c r="W65" s="238">
        <f t="shared" si="82"/>
        <v>0</v>
      </c>
      <c r="X65" s="238">
        <f>SUM(X63:X64)</f>
        <v>76</v>
      </c>
      <c r="Z65" s="238">
        <f>SUM(Z63:Z64)</f>
        <v>76.5</v>
      </c>
      <c r="AA65" s="238">
        <f t="shared" ref="AA65:AE65" si="83">SUM(AA63:AA64)</f>
        <v>12.83</v>
      </c>
      <c r="AB65" s="238">
        <f t="shared" si="83"/>
        <v>2</v>
      </c>
      <c r="AC65" s="238">
        <f t="shared" si="83"/>
        <v>0</v>
      </c>
      <c r="AD65" s="238">
        <f t="shared" si="83"/>
        <v>0</v>
      </c>
      <c r="AE65" s="238">
        <f t="shared" si="83"/>
        <v>0</v>
      </c>
      <c r="AF65" s="238">
        <f>SUM(AF63:AF64)</f>
        <v>91.33</v>
      </c>
      <c r="AH65" s="238">
        <f>SUM(AH63:AH64)</f>
        <v>142.5</v>
      </c>
      <c r="AI65" s="238">
        <f t="shared" ref="AI65:AM65" si="84">SUM(AI63:AI64)</f>
        <v>26.5</v>
      </c>
      <c r="AJ65" s="238">
        <f t="shared" si="84"/>
        <v>4</v>
      </c>
      <c r="AK65" s="238">
        <f t="shared" si="84"/>
        <v>0</v>
      </c>
      <c r="AL65" s="238">
        <f t="shared" si="84"/>
        <v>0</v>
      </c>
      <c r="AM65" s="238">
        <f t="shared" si="84"/>
        <v>0</v>
      </c>
      <c r="AN65" s="238">
        <f>SUM(AN63:AN64)</f>
        <v>173</v>
      </c>
      <c r="AP65" s="238">
        <f>SUM(AP63:AP64)</f>
        <v>50</v>
      </c>
      <c r="AQ65" s="238">
        <f t="shared" ref="AQ65:AU65" si="85">SUM(AQ63:AQ64)</f>
        <v>9</v>
      </c>
      <c r="AR65" s="238">
        <f t="shared" si="85"/>
        <v>1</v>
      </c>
      <c r="AS65" s="238">
        <f t="shared" si="85"/>
        <v>0</v>
      </c>
      <c r="AT65" s="238">
        <f t="shared" si="85"/>
        <v>4</v>
      </c>
      <c r="AU65" s="238">
        <f t="shared" si="85"/>
        <v>0</v>
      </c>
      <c r="AV65" s="238">
        <f>SUM(AV63:AV64)</f>
        <v>64</v>
      </c>
      <c r="AX65" s="238">
        <f>SUM(AX63:AX64)</f>
        <v>4</v>
      </c>
      <c r="AY65" s="238">
        <f t="shared" ref="AY65:BC65" si="86">SUM(AY63:AY64)</f>
        <v>2</v>
      </c>
      <c r="AZ65" s="238">
        <f t="shared" si="86"/>
        <v>0</v>
      </c>
      <c r="BA65" s="238">
        <f t="shared" si="86"/>
        <v>0</v>
      </c>
      <c r="BB65" s="238">
        <f t="shared" si="86"/>
        <v>1</v>
      </c>
      <c r="BC65" s="238">
        <f t="shared" si="86"/>
        <v>0</v>
      </c>
      <c r="BD65" s="238">
        <f>SUM(BD63:BD64)</f>
        <v>7</v>
      </c>
      <c r="BF65" s="238">
        <f>SUM(BF63:BF64)</f>
        <v>4</v>
      </c>
      <c r="BG65" s="238">
        <f t="shared" ref="BG65:BK65" si="87">SUM(BG63:BG64)</f>
        <v>0</v>
      </c>
      <c r="BH65" s="238">
        <f t="shared" si="87"/>
        <v>1</v>
      </c>
      <c r="BI65" s="238">
        <f t="shared" si="87"/>
        <v>0</v>
      </c>
      <c r="BJ65" s="238">
        <f t="shared" si="87"/>
        <v>1</v>
      </c>
      <c r="BK65" s="238">
        <f t="shared" si="87"/>
        <v>0</v>
      </c>
      <c r="BL65" s="238">
        <f>SUM(BL63:BL64)</f>
        <v>6</v>
      </c>
      <c r="BN65" s="238">
        <f>SUM(BN63:BN64)</f>
        <v>552.5</v>
      </c>
      <c r="BO65" s="238">
        <f t="shared" ref="BO65:BS65" si="88">SUM(BO63:BO64)</f>
        <v>98.83</v>
      </c>
      <c r="BP65" s="238">
        <f t="shared" si="88"/>
        <v>18</v>
      </c>
      <c r="BQ65" s="238">
        <f t="shared" si="88"/>
        <v>0</v>
      </c>
      <c r="BR65" s="238">
        <f t="shared" si="88"/>
        <v>7</v>
      </c>
      <c r="BS65" s="238">
        <f t="shared" si="88"/>
        <v>0</v>
      </c>
      <c r="BT65" s="238">
        <f>SUM(BT63:BT64)</f>
        <v>676.33</v>
      </c>
    </row>
    <row r="66" spans="1:72" ht="16.5" thickBot="1" x14ac:dyDescent="0.3"/>
    <row r="67" spans="1:72" ht="16.5" thickBot="1" x14ac:dyDescent="0.3">
      <c r="A67" s="199"/>
      <c r="B67" s="239" t="s">
        <v>309</v>
      </c>
      <c r="C67" s="239" t="s">
        <v>310</v>
      </c>
      <c r="D67" s="239" t="s">
        <v>311</v>
      </c>
      <c r="E67" s="240" t="str">
        <f>E20</f>
        <v>Other</v>
      </c>
      <c r="F67" s="239" t="s">
        <v>313</v>
      </c>
      <c r="G67" s="239" t="s">
        <v>314</v>
      </c>
      <c r="H67" s="239" t="s">
        <v>59</v>
      </c>
      <c r="J67" s="239" t="s">
        <v>309</v>
      </c>
      <c r="K67" s="239" t="s">
        <v>310</v>
      </c>
      <c r="L67" s="239" t="s">
        <v>311</v>
      </c>
      <c r="M67" s="240" t="str">
        <f>M20</f>
        <v>Other</v>
      </c>
      <c r="N67" s="239" t="s">
        <v>313</v>
      </c>
      <c r="O67" s="239" t="s">
        <v>314</v>
      </c>
      <c r="P67" s="240" t="str">
        <f>P38</f>
        <v>Cadence</v>
      </c>
      <c r="R67" s="239" t="s">
        <v>309</v>
      </c>
      <c r="S67" s="239" t="s">
        <v>310</v>
      </c>
      <c r="T67" s="239" t="s">
        <v>311</v>
      </c>
      <c r="U67" s="240" t="str">
        <f>U20</f>
        <v>Other</v>
      </c>
      <c r="V67" s="239" t="s">
        <v>313</v>
      </c>
      <c r="W67" s="239" t="s">
        <v>314</v>
      </c>
      <c r="X67" s="240" t="str">
        <f>X38</f>
        <v>St. Rose</v>
      </c>
      <c r="Z67" s="239" t="s">
        <v>309</v>
      </c>
      <c r="AA67" s="239" t="s">
        <v>310</v>
      </c>
      <c r="AB67" s="239" t="s">
        <v>311</v>
      </c>
      <c r="AC67" s="240" t="str">
        <f>AC20</f>
        <v>Other</v>
      </c>
      <c r="AD67" s="239" t="s">
        <v>313</v>
      </c>
      <c r="AE67" s="239" t="s">
        <v>314</v>
      </c>
      <c r="AF67" s="240" t="str">
        <f>AF38</f>
        <v>Inspirada</v>
      </c>
      <c r="AH67" s="239" t="s">
        <v>309</v>
      </c>
      <c r="AI67" s="239" t="s">
        <v>310</v>
      </c>
      <c r="AJ67" s="239" t="s">
        <v>311</v>
      </c>
      <c r="AK67" s="240" t="str">
        <f>AK20</f>
        <v>Other</v>
      </c>
      <c r="AL67" s="239" t="s">
        <v>313</v>
      </c>
      <c r="AM67" s="239" t="s">
        <v>314</v>
      </c>
      <c r="AN67" s="240" t="str">
        <f>AN38</f>
        <v>Sloan</v>
      </c>
      <c r="AP67" s="239" t="s">
        <v>309</v>
      </c>
      <c r="AQ67" s="239" t="s">
        <v>310</v>
      </c>
      <c r="AR67" s="239" t="s">
        <v>311</v>
      </c>
      <c r="AS67" s="240" t="str">
        <f>AS20</f>
        <v>Other</v>
      </c>
      <c r="AT67" s="239" t="s">
        <v>313</v>
      </c>
      <c r="AU67" s="239" t="s">
        <v>314</v>
      </c>
      <c r="AV67" s="240" t="str">
        <f>AV38</f>
        <v>Springs</v>
      </c>
      <c r="AX67" s="239" t="s">
        <v>309</v>
      </c>
      <c r="AY67" s="239" t="s">
        <v>310</v>
      </c>
      <c r="AZ67" s="239" t="s">
        <v>311</v>
      </c>
      <c r="BA67" s="240" t="str">
        <f>BA20</f>
        <v>Other</v>
      </c>
      <c r="BB67" s="239" t="s">
        <v>313</v>
      </c>
      <c r="BC67" s="239" t="s">
        <v>314</v>
      </c>
      <c r="BD67" s="240" t="str">
        <f>BD38</f>
        <v>Virtual</v>
      </c>
      <c r="BF67" s="239" t="s">
        <v>309</v>
      </c>
      <c r="BG67" s="239" t="s">
        <v>310</v>
      </c>
      <c r="BH67" s="239" t="s">
        <v>311</v>
      </c>
      <c r="BI67" s="240" t="str">
        <f>BI20</f>
        <v>Other</v>
      </c>
      <c r="BJ67" s="239" t="s">
        <v>313</v>
      </c>
      <c r="BK67" s="239" t="s">
        <v>314</v>
      </c>
      <c r="BL67" s="240" t="str">
        <f>BL38</f>
        <v>Central</v>
      </c>
      <c r="BN67" s="239" t="s">
        <v>309</v>
      </c>
      <c r="BO67" s="239" t="s">
        <v>310</v>
      </c>
      <c r="BP67" s="239" t="s">
        <v>311</v>
      </c>
      <c r="BQ67" s="240" t="str">
        <f>BQ20</f>
        <v>Other</v>
      </c>
      <c r="BR67" s="239" t="s">
        <v>313</v>
      </c>
      <c r="BS67" s="239" t="s">
        <v>314</v>
      </c>
      <c r="BT67" s="240" t="str">
        <f>BT38</f>
        <v>System</v>
      </c>
    </row>
    <row r="68" spans="1:72" x14ac:dyDescent="0.25">
      <c r="A68" s="200" t="s">
        <v>215</v>
      </c>
      <c r="B68" s="241">
        <f>B17*B2</f>
        <v>9200475</v>
      </c>
      <c r="C68" s="241"/>
      <c r="D68" s="241"/>
      <c r="E68" s="241"/>
      <c r="F68" s="241"/>
      <c r="G68" s="241"/>
      <c r="H68" s="241">
        <f>SUM(B68:G68)</f>
        <v>9200475</v>
      </c>
      <c r="J68" s="241">
        <f>J17*J2</f>
        <v>24951450</v>
      </c>
      <c r="K68" s="241"/>
      <c r="L68" s="241"/>
      <c r="M68" s="241"/>
      <c r="N68" s="241"/>
      <c r="O68" s="241"/>
      <c r="P68" s="241">
        <f>SUM(J68:O68)</f>
        <v>24951450</v>
      </c>
      <c r="R68" s="241">
        <f>R17*R2</f>
        <v>10222750</v>
      </c>
      <c r="S68" s="241"/>
      <c r="T68" s="241"/>
      <c r="U68" s="241"/>
      <c r="V68" s="241"/>
      <c r="W68" s="241"/>
      <c r="X68" s="241">
        <f>SUM(R68:W68)</f>
        <v>10222750</v>
      </c>
      <c r="Z68" s="241">
        <f>Z17*Z2</f>
        <v>11890150</v>
      </c>
      <c r="AA68" s="241"/>
      <c r="AB68" s="241"/>
      <c r="AC68" s="241"/>
      <c r="AD68" s="241"/>
      <c r="AE68" s="241"/>
      <c r="AF68" s="241">
        <f>SUM(Z68:AE68)</f>
        <v>11890150</v>
      </c>
      <c r="AH68" s="241">
        <f>AH17*AH2</f>
        <v>24891900</v>
      </c>
      <c r="AI68" s="241"/>
      <c r="AJ68" s="241"/>
      <c r="AK68" s="241"/>
      <c r="AL68" s="241"/>
      <c r="AM68" s="241"/>
      <c r="AN68" s="241">
        <f>SUM(AH68:AM68)</f>
        <v>24891900</v>
      </c>
      <c r="AP68" s="241">
        <f>AP17*AP2</f>
        <v>9131000</v>
      </c>
      <c r="AQ68" s="241"/>
      <c r="AR68" s="241"/>
      <c r="AS68" s="241"/>
      <c r="AT68" s="241"/>
      <c r="AU68" s="241"/>
      <c r="AV68" s="241">
        <f>SUM(AP68:AU68)</f>
        <v>9131000</v>
      </c>
      <c r="AX68" s="241">
        <f>AX17*AX2</f>
        <v>1806350</v>
      </c>
      <c r="AY68" s="241"/>
      <c r="AZ68" s="241"/>
      <c r="BA68" s="241"/>
      <c r="BB68" s="241"/>
      <c r="BC68" s="241"/>
      <c r="BD68" s="241">
        <f>SUM(AX68:BC68)</f>
        <v>1806350</v>
      </c>
      <c r="BF68" s="241"/>
      <c r="BG68" s="241"/>
      <c r="BH68" s="241"/>
      <c r="BI68" s="241"/>
      <c r="BJ68" s="241"/>
      <c r="BK68" s="241"/>
      <c r="BL68" s="241">
        <f>SUM(BF68:BK68)</f>
        <v>0</v>
      </c>
      <c r="BN68" s="241">
        <f>B68+J68+R68+Z68+AH68+AP68+AX68+BF68</f>
        <v>92094075</v>
      </c>
      <c r="BO68" s="241">
        <f t="shared" ref="BO68:BS81" si="89">C68+K68+S68+AA68+AI68+AQ68+AY68+BG68</f>
        <v>0</v>
      </c>
      <c r="BP68" s="241">
        <f t="shared" si="89"/>
        <v>0</v>
      </c>
      <c r="BQ68" s="241">
        <f t="shared" si="89"/>
        <v>0</v>
      </c>
      <c r="BR68" s="241">
        <f t="shared" si="89"/>
        <v>0</v>
      </c>
      <c r="BS68" s="241">
        <f t="shared" si="89"/>
        <v>0</v>
      </c>
      <c r="BT68" s="241">
        <f>SUM(BN68:BS68)</f>
        <v>92094075</v>
      </c>
    </row>
    <row r="69" spans="1:72" x14ac:dyDescent="0.25">
      <c r="A69" s="201" t="s">
        <v>216</v>
      </c>
      <c r="B69" s="242">
        <f>B22*4466</f>
        <v>156310</v>
      </c>
      <c r="C69" s="242"/>
      <c r="D69" s="242"/>
      <c r="E69" s="242"/>
      <c r="F69" s="242"/>
      <c r="G69" s="242"/>
      <c r="H69" s="241">
        <f t="shared" ref="H69:H81" si="90">SUM(B69:G69)</f>
        <v>156310</v>
      </c>
      <c r="J69" s="242">
        <f>J22*4466</f>
        <v>223300</v>
      </c>
      <c r="K69" s="242"/>
      <c r="L69" s="242"/>
      <c r="M69" s="242"/>
      <c r="N69" s="242"/>
      <c r="O69" s="242"/>
      <c r="P69" s="241">
        <f t="shared" ref="P69:P81" si="91">SUM(J69:O69)</f>
        <v>223300</v>
      </c>
      <c r="R69" s="242">
        <f>R22*4466</f>
        <v>98252</v>
      </c>
      <c r="S69" s="242"/>
      <c r="T69" s="242"/>
      <c r="U69" s="242"/>
      <c r="V69" s="242"/>
      <c r="W69" s="242"/>
      <c r="X69" s="241">
        <f t="shared" ref="X69:X81" si="92">SUM(R69:W69)</f>
        <v>98252</v>
      </c>
      <c r="Z69" s="242">
        <f>Z22*4366</f>
        <v>183372</v>
      </c>
      <c r="AA69" s="242"/>
      <c r="AB69" s="242"/>
      <c r="AC69" s="242"/>
      <c r="AD69" s="242"/>
      <c r="AE69" s="242"/>
      <c r="AF69" s="241">
        <f t="shared" ref="AF69:AF81" si="93">SUM(Z69:AE69)</f>
        <v>183372</v>
      </c>
      <c r="AH69" s="242">
        <f>AH22*4466</f>
        <v>200970</v>
      </c>
      <c r="AI69" s="242"/>
      <c r="AJ69" s="242"/>
      <c r="AK69" s="242"/>
      <c r="AL69" s="242"/>
      <c r="AM69" s="242"/>
      <c r="AN69" s="241">
        <f t="shared" ref="AN69:AN81" si="94">SUM(AH69:AM69)</f>
        <v>200970</v>
      </c>
      <c r="AP69" s="242">
        <f>AP22*4466</f>
        <v>223300</v>
      </c>
      <c r="AQ69" s="242"/>
      <c r="AR69" s="242"/>
      <c r="AS69" s="242"/>
      <c r="AT69" s="242"/>
      <c r="AU69" s="242"/>
      <c r="AV69" s="241">
        <f t="shared" ref="AV69:AV81" si="95">SUM(AP69:AU69)</f>
        <v>223300</v>
      </c>
      <c r="AX69" s="242">
        <f>AX22*4466</f>
        <v>8932</v>
      </c>
      <c r="AY69" s="242"/>
      <c r="AZ69" s="242"/>
      <c r="BA69" s="242"/>
      <c r="BB69" s="242"/>
      <c r="BC69" s="242"/>
      <c r="BD69" s="241">
        <f t="shared" ref="BD69:BD81" si="96">SUM(AX69:BC69)</f>
        <v>8932</v>
      </c>
      <c r="BF69" s="242"/>
      <c r="BG69" s="242"/>
      <c r="BH69" s="242"/>
      <c r="BI69" s="242"/>
      <c r="BJ69" s="242"/>
      <c r="BK69" s="242"/>
      <c r="BL69" s="241">
        <f t="shared" ref="BL69:BL81" si="97">SUM(BF69:BK69)</f>
        <v>0</v>
      </c>
      <c r="BN69" s="241">
        <f t="shared" ref="BN69:BN81" si="98">B69+J69+R69+Z69+AH69+AP69+AX69+BF69</f>
        <v>1094436</v>
      </c>
      <c r="BO69" s="241">
        <f t="shared" si="89"/>
        <v>0</v>
      </c>
      <c r="BP69" s="241">
        <f t="shared" si="89"/>
        <v>0</v>
      </c>
      <c r="BQ69" s="241">
        <f t="shared" si="89"/>
        <v>0</v>
      </c>
      <c r="BR69" s="241">
        <f t="shared" si="89"/>
        <v>0</v>
      </c>
      <c r="BS69" s="241">
        <f t="shared" si="89"/>
        <v>0</v>
      </c>
      <c r="BT69" s="241">
        <f t="shared" ref="BT69:BT81" si="99">SUM(BN69:BS69)</f>
        <v>1094436</v>
      </c>
    </row>
    <row r="70" spans="1:72" x14ac:dyDescent="0.25">
      <c r="A70" s="201" t="s">
        <v>217</v>
      </c>
      <c r="B70" s="242">
        <f>B23*1191</f>
        <v>39303</v>
      </c>
      <c r="C70" s="242"/>
      <c r="D70" s="242"/>
      <c r="E70" s="242"/>
      <c r="F70" s="242"/>
      <c r="G70" s="242"/>
      <c r="H70" s="241">
        <f t="shared" si="90"/>
        <v>39303</v>
      </c>
      <c r="J70" s="242">
        <f>J23*1191</f>
        <v>47640</v>
      </c>
      <c r="K70" s="242"/>
      <c r="L70" s="242"/>
      <c r="M70" s="242"/>
      <c r="N70" s="242"/>
      <c r="O70" s="242"/>
      <c r="P70" s="241">
        <f t="shared" si="91"/>
        <v>47640</v>
      </c>
      <c r="R70" s="242">
        <f>R23*1191</f>
        <v>79797</v>
      </c>
      <c r="S70" s="242"/>
      <c r="T70" s="242"/>
      <c r="U70" s="242"/>
      <c r="V70" s="242"/>
      <c r="W70" s="242"/>
      <c r="X70" s="241">
        <f t="shared" si="92"/>
        <v>79797</v>
      </c>
      <c r="Z70" s="242">
        <f>Z23*1191</f>
        <v>66696</v>
      </c>
      <c r="AA70" s="242"/>
      <c r="AB70" s="242"/>
      <c r="AC70" s="242"/>
      <c r="AD70" s="242"/>
      <c r="AE70" s="242"/>
      <c r="AF70" s="241">
        <f t="shared" si="93"/>
        <v>66696</v>
      </c>
      <c r="AH70" s="242">
        <f>AH23*1191</f>
        <v>105999</v>
      </c>
      <c r="AI70" s="242"/>
      <c r="AJ70" s="242"/>
      <c r="AK70" s="242"/>
      <c r="AL70" s="242"/>
      <c r="AM70" s="242"/>
      <c r="AN70" s="241">
        <f t="shared" si="94"/>
        <v>105999</v>
      </c>
      <c r="AP70" s="242">
        <f>AP23*1191</f>
        <v>0</v>
      </c>
      <c r="AQ70" s="242"/>
      <c r="AR70" s="242"/>
      <c r="AS70" s="242"/>
      <c r="AT70" s="242"/>
      <c r="AU70" s="242"/>
      <c r="AV70" s="241">
        <f t="shared" si="95"/>
        <v>0</v>
      </c>
      <c r="AX70" s="242">
        <f>AX23*1130</f>
        <v>0</v>
      </c>
      <c r="AY70" s="242"/>
      <c r="AZ70" s="242"/>
      <c r="BA70" s="242"/>
      <c r="BB70" s="242"/>
      <c r="BC70" s="242"/>
      <c r="BD70" s="241">
        <f t="shared" si="96"/>
        <v>0</v>
      </c>
      <c r="BF70" s="242"/>
      <c r="BG70" s="242"/>
      <c r="BH70" s="242"/>
      <c r="BI70" s="242"/>
      <c r="BJ70" s="242"/>
      <c r="BK70" s="242"/>
      <c r="BL70" s="241">
        <f t="shared" si="97"/>
        <v>0</v>
      </c>
      <c r="BN70" s="241">
        <f t="shared" si="98"/>
        <v>339435</v>
      </c>
      <c r="BO70" s="241">
        <f t="shared" si="89"/>
        <v>0</v>
      </c>
      <c r="BP70" s="241">
        <f t="shared" si="89"/>
        <v>0</v>
      </c>
      <c r="BQ70" s="241">
        <f t="shared" si="89"/>
        <v>0</v>
      </c>
      <c r="BR70" s="241">
        <f t="shared" si="89"/>
        <v>0</v>
      </c>
      <c r="BS70" s="241">
        <f t="shared" si="89"/>
        <v>0</v>
      </c>
      <c r="BT70" s="241">
        <f t="shared" si="99"/>
        <v>339435</v>
      </c>
    </row>
    <row r="71" spans="1:72" x14ac:dyDescent="0.25">
      <c r="A71" s="201" t="s">
        <v>218</v>
      </c>
      <c r="B71" s="242">
        <f>B24*3474</f>
        <v>69480</v>
      </c>
      <c r="C71" s="242"/>
      <c r="D71" s="242"/>
      <c r="E71" s="242"/>
      <c r="F71" s="242"/>
      <c r="G71" s="242"/>
      <c r="H71" s="241">
        <f t="shared" si="90"/>
        <v>69480</v>
      </c>
      <c r="J71" s="242">
        <f>J24*3474</f>
        <v>399510</v>
      </c>
      <c r="K71" s="242"/>
      <c r="L71" s="242"/>
      <c r="M71" s="242"/>
      <c r="N71" s="242"/>
      <c r="O71" s="242"/>
      <c r="P71" s="241">
        <f t="shared" si="91"/>
        <v>399510</v>
      </c>
      <c r="R71" s="242">
        <f>R24*3474</f>
        <v>27792</v>
      </c>
      <c r="S71" s="242"/>
      <c r="T71" s="242"/>
      <c r="U71" s="242"/>
      <c r="V71" s="242"/>
      <c r="W71" s="242"/>
      <c r="X71" s="241">
        <f t="shared" si="92"/>
        <v>27792</v>
      </c>
      <c r="Z71" s="242">
        <f>Z24*3474</f>
        <v>0</v>
      </c>
      <c r="AA71" s="242"/>
      <c r="AB71" s="242"/>
      <c r="AC71" s="242"/>
      <c r="AD71" s="242"/>
      <c r="AE71" s="242"/>
      <c r="AF71" s="241">
        <f t="shared" si="93"/>
        <v>0</v>
      </c>
      <c r="AH71" s="242">
        <f>AH24*3474</f>
        <v>277920</v>
      </c>
      <c r="AI71" s="242"/>
      <c r="AJ71" s="242"/>
      <c r="AK71" s="242"/>
      <c r="AL71" s="242"/>
      <c r="AM71" s="242"/>
      <c r="AN71" s="241">
        <f t="shared" si="94"/>
        <v>277920</v>
      </c>
      <c r="AP71" s="242">
        <f>AP24*3474</f>
        <v>295290</v>
      </c>
      <c r="AQ71" s="242"/>
      <c r="AR71" s="242"/>
      <c r="AS71" s="242"/>
      <c r="AT71" s="242"/>
      <c r="AU71" s="242"/>
      <c r="AV71" s="241">
        <f t="shared" si="95"/>
        <v>295290</v>
      </c>
      <c r="AX71" s="242">
        <f>AX24*3474</f>
        <v>52110</v>
      </c>
      <c r="AY71" s="242"/>
      <c r="AZ71" s="242"/>
      <c r="BA71" s="242"/>
      <c r="BB71" s="242"/>
      <c r="BC71" s="242"/>
      <c r="BD71" s="241">
        <f t="shared" si="96"/>
        <v>52110</v>
      </c>
      <c r="BF71" s="242"/>
      <c r="BG71" s="242"/>
      <c r="BH71" s="242"/>
      <c r="BI71" s="242"/>
      <c r="BJ71" s="242"/>
      <c r="BK71" s="242"/>
      <c r="BL71" s="241">
        <f t="shared" si="97"/>
        <v>0</v>
      </c>
      <c r="BN71" s="241">
        <f t="shared" si="98"/>
        <v>1122102</v>
      </c>
      <c r="BO71" s="241">
        <f t="shared" si="89"/>
        <v>0</v>
      </c>
      <c r="BP71" s="241">
        <f t="shared" si="89"/>
        <v>0</v>
      </c>
      <c r="BQ71" s="241">
        <f t="shared" si="89"/>
        <v>0</v>
      </c>
      <c r="BR71" s="241">
        <f t="shared" si="89"/>
        <v>0</v>
      </c>
      <c r="BS71" s="241">
        <f t="shared" si="89"/>
        <v>0</v>
      </c>
      <c r="BT71" s="241">
        <f t="shared" si="99"/>
        <v>1122102</v>
      </c>
    </row>
    <row r="72" spans="1:72" x14ac:dyDescent="0.25">
      <c r="A72" s="201" t="s">
        <v>219</v>
      </c>
      <c r="B72" s="242">
        <v>250000</v>
      </c>
      <c r="C72" s="242"/>
      <c r="D72" s="242"/>
      <c r="E72" s="242"/>
      <c r="F72" s="242"/>
      <c r="G72" s="242"/>
      <c r="H72" s="241">
        <f t="shared" si="90"/>
        <v>250000</v>
      </c>
      <c r="J72" s="242">
        <v>610000</v>
      </c>
      <c r="K72" s="242"/>
      <c r="L72" s="242"/>
      <c r="M72" s="242"/>
      <c r="N72" s="242"/>
      <c r="O72" s="242"/>
      <c r="P72" s="241">
        <f t="shared" si="91"/>
        <v>610000</v>
      </c>
      <c r="R72" s="242">
        <v>240000</v>
      </c>
      <c r="S72" s="242"/>
      <c r="T72" s="242"/>
      <c r="U72" s="242"/>
      <c r="V72" s="242"/>
      <c r="W72" s="242"/>
      <c r="X72" s="241">
        <f t="shared" si="92"/>
        <v>240000</v>
      </c>
      <c r="Z72" s="242">
        <v>285000</v>
      </c>
      <c r="AA72" s="242"/>
      <c r="AB72" s="242"/>
      <c r="AC72" s="242"/>
      <c r="AD72" s="242"/>
      <c r="AE72" s="242"/>
      <c r="AF72" s="241">
        <f t="shared" si="93"/>
        <v>285000</v>
      </c>
      <c r="AH72" s="242">
        <v>585000</v>
      </c>
      <c r="AI72" s="242"/>
      <c r="AJ72" s="242"/>
      <c r="AK72" s="242"/>
      <c r="AL72" s="242"/>
      <c r="AM72" s="242"/>
      <c r="AN72" s="241">
        <f t="shared" si="94"/>
        <v>585000</v>
      </c>
      <c r="AP72" s="242">
        <v>175000</v>
      </c>
      <c r="AQ72" s="242"/>
      <c r="AR72" s="242"/>
      <c r="AS72" s="242"/>
      <c r="AT72" s="242"/>
      <c r="AU72" s="242"/>
      <c r="AV72" s="241">
        <f t="shared" si="95"/>
        <v>175000</v>
      </c>
      <c r="AX72" s="242">
        <v>37126</v>
      </c>
      <c r="AY72" s="242"/>
      <c r="AZ72" s="242"/>
      <c r="BA72" s="242"/>
      <c r="BB72" s="242"/>
      <c r="BC72" s="242"/>
      <c r="BD72" s="241">
        <f t="shared" si="96"/>
        <v>37126</v>
      </c>
      <c r="BF72" s="242"/>
      <c r="BG72" s="242"/>
      <c r="BH72" s="242"/>
      <c r="BI72" s="242"/>
      <c r="BJ72" s="242"/>
      <c r="BK72" s="242"/>
      <c r="BL72" s="241"/>
      <c r="BN72" s="241">
        <f t="shared" si="98"/>
        <v>2182126</v>
      </c>
      <c r="BO72" s="241">
        <f t="shared" si="89"/>
        <v>0</v>
      </c>
      <c r="BP72" s="241">
        <f t="shared" si="89"/>
        <v>0</v>
      </c>
      <c r="BQ72" s="241">
        <f t="shared" si="89"/>
        <v>0</v>
      </c>
      <c r="BR72" s="241">
        <f t="shared" si="89"/>
        <v>0</v>
      </c>
      <c r="BS72" s="241">
        <f t="shared" si="89"/>
        <v>0</v>
      </c>
      <c r="BT72" s="241">
        <f t="shared" si="99"/>
        <v>2182126</v>
      </c>
    </row>
    <row r="73" spans="1:72" x14ac:dyDescent="0.25">
      <c r="A73" s="201" t="s">
        <v>220</v>
      </c>
      <c r="B73" s="242"/>
      <c r="C73" s="242">
        <v>151884</v>
      </c>
      <c r="D73" s="242"/>
      <c r="E73" s="242"/>
      <c r="F73" s="242"/>
      <c r="G73" s="242"/>
      <c r="H73" s="241">
        <f t="shared" si="90"/>
        <v>151884</v>
      </c>
      <c r="J73" s="242"/>
      <c r="K73" s="242">
        <v>411906</v>
      </c>
      <c r="L73" s="242"/>
      <c r="M73" s="242"/>
      <c r="N73" s="242"/>
      <c r="O73" s="242"/>
      <c r="P73" s="241">
        <f t="shared" si="91"/>
        <v>411906</v>
      </c>
      <c r="R73" s="242"/>
      <c r="S73" s="242">
        <v>168760</v>
      </c>
      <c r="T73" s="242"/>
      <c r="U73" s="242"/>
      <c r="V73" s="242"/>
      <c r="W73" s="242"/>
      <c r="X73" s="241">
        <f t="shared" si="92"/>
        <v>168760</v>
      </c>
      <c r="Z73" s="242"/>
      <c r="AA73" s="242">
        <v>196286</v>
      </c>
      <c r="AB73" s="242"/>
      <c r="AC73" s="242"/>
      <c r="AD73" s="242"/>
      <c r="AE73" s="242"/>
      <c r="AF73" s="241">
        <f t="shared" si="93"/>
        <v>196286</v>
      </c>
      <c r="AH73" s="242"/>
      <c r="AI73" s="242">
        <v>416166</v>
      </c>
      <c r="AJ73" s="242"/>
      <c r="AK73" s="242"/>
      <c r="AL73" s="242"/>
      <c r="AM73" s="242"/>
      <c r="AN73" s="241">
        <f t="shared" si="94"/>
        <v>416166</v>
      </c>
      <c r="AP73" s="242"/>
      <c r="AQ73" s="242">
        <v>152058</v>
      </c>
      <c r="AR73" s="242"/>
      <c r="AS73" s="242"/>
      <c r="AT73" s="242"/>
      <c r="AU73" s="242"/>
      <c r="AV73" s="241">
        <f t="shared" si="95"/>
        <v>152058</v>
      </c>
      <c r="AX73" s="242"/>
      <c r="AY73" s="243">
        <v>22938</v>
      </c>
      <c r="AZ73" s="242"/>
      <c r="BA73" s="242"/>
      <c r="BB73" s="242"/>
      <c r="BC73" s="242"/>
      <c r="BD73" s="241">
        <f t="shared" si="96"/>
        <v>22938</v>
      </c>
      <c r="BF73" s="242"/>
      <c r="BG73" s="242"/>
      <c r="BH73" s="242"/>
      <c r="BI73" s="242"/>
      <c r="BJ73" s="242"/>
      <c r="BK73" s="242"/>
      <c r="BL73" s="241">
        <f t="shared" si="97"/>
        <v>0</v>
      </c>
      <c r="BN73" s="241">
        <f t="shared" si="98"/>
        <v>0</v>
      </c>
      <c r="BO73" s="241">
        <f t="shared" si="89"/>
        <v>1519998</v>
      </c>
      <c r="BP73" s="241">
        <f t="shared" si="89"/>
        <v>0</v>
      </c>
      <c r="BQ73" s="241">
        <f t="shared" si="89"/>
        <v>0</v>
      </c>
      <c r="BR73" s="241">
        <f t="shared" si="89"/>
        <v>0</v>
      </c>
      <c r="BS73" s="241">
        <f t="shared" si="89"/>
        <v>0</v>
      </c>
      <c r="BT73" s="241">
        <f t="shared" si="99"/>
        <v>1519998</v>
      </c>
    </row>
    <row r="74" spans="1:72" x14ac:dyDescent="0.25">
      <c r="A74" s="201" t="s">
        <v>221</v>
      </c>
      <c r="B74" s="244"/>
      <c r="C74" s="244">
        <f>4000*C21</f>
        <v>448000</v>
      </c>
      <c r="D74" s="244"/>
      <c r="E74" s="244"/>
      <c r="F74" s="244"/>
      <c r="G74" s="244"/>
      <c r="H74" s="241">
        <f t="shared" si="90"/>
        <v>448000</v>
      </c>
      <c r="J74" s="244"/>
      <c r="K74" s="244">
        <f>4000*K21</f>
        <v>1140000</v>
      </c>
      <c r="L74" s="244"/>
      <c r="M74" s="244"/>
      <c r="N74" s="244"/>
      <c r="O74" s="244"/>
      <c r="P74" s="241">
        <f t="shared" si="91"/>
        <v>1140000</v>
      </c>
      <c r="R74" s="244"/>
      <c r="S74" s="244">
        <f>4000*S21</f>
        <v>320000</v>
      </c>
      <c r="T74" s="244"/>
      <c r="U74" s="244"/>
      <c r="V74" s="244"/>
      <c r="W74" s="244"/>
      <c r="X74" s="241">
        <f t="shared" si="92"/>
        <v>320000</v>
      </c>
      <c r="Z74" s="244"/>
      <c r="AA74" s="244">
        <f>4000*AA21</f>
        <v>400000</v>
      </c>
      <c r="AB74" s="244"/>
      <c r="AC74" s="244"/>
      <c r="AD74" s="244"/>
      <c r="AE74" s="244"/>
      <c r="AF74" s="241">
        <f t="shared" si="93"/>
        <v>400000</v>
      </c>
      <c r="AH74" s="244"/>
      <c r="AI74" s="244">
        <f>4000*AI21</f>
        <v>860000</v>
      </c>
      <c r="AJ74" s="244"/>
      <c r="AK74" s="244"/>
      <c r="AL74" s="244"/>
      <c r="AM74" s="244"/>
      <c r="AN74" s="241">
        <f t="shared" si="94"/>
        <v>860000</v>
      </c>
      <c r="AP74" s="244"/>
      <c r="AQ74" s="244">
        <f>4000*AQ21</f>
        <v>432000</v>
      </c>
      <c r="AR74" s="244"/>
      <c r="AS74" s="244"/>
      <c r="AT74" s="244"/>
      <c r="AU74" s="244"/>
      <c r="AV74" s="241">
        <f t="shared" si="95"/>
        <v>432000</v>
      </c>
      <c r="AX74" s="244"/>
      <c r="AY74" s="244">
        <f>4000*AY21</f>
        <v>84000</v>
      </c>
      <c r="AZ74" s="244"/>
      <c r="BA74" s="244"/>
      <c r="BB74" s="244"/>
      <c r="BC74" s="244"/>
      <c r="BD74" s="241">
        <f t="shared" si="96"/>
        <v>84000</v>
      </c>
      <c r="BF74" s="242"/>
      <c r="BG74" s="242"/>
      <c r="BH74" s="242"/>
      <c r="BI74" s="242"/>
      <c r="BJ74" s="242"/>
      <c r="BK74" s="242"/>
      <c r="BL74" s="241">
        <f t="shared" si="97"/>
        <v>0</v>
      </c>
      <c r="BN74" s="241">
        <f t="shared" si="98"/>
        <v>0</v>
      </c>
      <c r="BO74" s="241">
        <f t="shared" si="89"/>
        <v>3684000</v>
      </c>
      <c r="BP74" s="241">
        <f t="shared" si="89"/>
        <v>0</v>
      </c>
      <c r="BQ74" s="241">
        <f t="shared" si="89"/>
        <v>0</v>
      </c>
      <c r="BR74" s="241">
        <f t="shared" si="89"/>
        <v>0</v>
      </c>
      <c r="BS74" s="241">
        <f t="shared" si="89"/>
        <v>0</v>
      </c>
      <c r="BT74" s="241">
        <f t="shared" si="99"/>
        <v>3684000</v>
      </c>
    </row>
    <row r="75" spans="1:72" x14ac:dyDescent="0.25">
      <c r="A75" s="201" t="s">
        <v>222</v>
      </c>
      <c r="B75" s="244"/>
      <c r="C75" s="244">
        <v>109558</v>
      </c>
      <c r="D75" s="244"/>
      <c r="E75" s="244"/>
      <c r="F75" s="244"/>
      <c r="G75" s="244"/>
      <c r="H75" s="241">
        <f t="shared" si="90"/>
        <v>109558</v>
      </c>
      <c r="J75" s="244"/>
      <c r="K75" s="244">
        <v>278785</v>
      </c>
      <c r="L75" s="244"/>
      <c r="M75" s="244"/>
      <c r="N75" s="244"/>
      <c r="O75" s="244"/>
      <c r="P75" s="241">
        <f t="shared" si="91"/>
        <v>278785</v>
      </c>
      <c r="R75" s="244"/>
      <c r="S75" s="244">
        <v>78255</v>
      </c>
      <c r="T75" s="244"/>
      <c r="U75" s="244"/>
      <c r="V75" s="244"/>
      <c r="W75" s="244"/>
      <c r="X75" s="241">
        <f t="shared" si="92"/>
        <v>78255</v>
      </c>
      <c r="Z75" s="244"/>
      <c r="AA75" s="244">
        <v>97820</v>
      </c>
      <c r="AB75" s="244"/>
      <c r="AC75" s="244"/>
      <c r="AD75" s="244"/>
      <c r="AE75" s="244"/>
      <c r="AF75" s="241">
        <f t="shared" si="93"/>
        <v>97820</v>
      </c>
      <c r="AH75" s="244"/>
      <c r="AI75" s="244">
        <v>192705</v>
      </c>
      <c r="AJ75" s="244"/>
      <c r="AK75" s="244"/>
      <c r="AL75" s="244"/>
      <c r="AM75" s="244"/>
      <c r="AN75" s="241">
        <f t="shared" si="94"/>
        <v>192705</v>
      </c>
      <c r="AP75" s="244"/>
      <c r="AQ75" s="244">
        <v>27390</v>
      </c>
      <c r="AR75" s="244"/>
      <c r="AS75" s="244"/>
      <c r="AT75" s="244"/>
      <c r="AU75" s="244"/>
      <c r="AV75" s="241">
        <f t="shared" si="95"/>
        <v>27390</v>
      </c>
      <c r="AX75" s="244"/>
      <c r="AY75" s="244">
        <v>20542</v>
      </c>
      <c r="AZ75" s="244"/>
      <c r="BA75" s="244"/>
      <c r="BB75" s="244"/>
      <c r="BC75" s="244"/>
      <c r="BD75" s="241">
        <f t="shared" si="96"/>
        <v>20542</v>
      </c>
      <c r="BF75" s="242"/>
      <c r="BG75" s="242"/>
      <c r="BH75" s="242"/>
      <c r="BI75" s="242"/>
      <c r="BJ75" s="242"/>
      <c r="BK75" s="242"/>
      <c r="BL75" s="241">
        <f t="shared" si="97"/>
        <v>0</v>
      </c>
      <c r="BN75" s="241">
        <f t="shared" si="98"/>
        <v>0</v>
      </c>
      <c r="BO75" s="241">
        <f t="shared" si="89"/>
        <v>805055</v>
      </c>
      <c r="BP75" s="241">
        <f t="shared" si="89"/>
        <v>0</v>
      </c>
      <c r="BQ75" s="241">
        <f t="shared" si="89"/>
        <v>0</v>
      </c>
      <c r="BR75" s="241">
        <f t="shared" si="89"/>
        <v>0</v>
      </c>
      <c r="BS75" s="241">
        <f t="shared" si="89"/>
        <v>0</v>
      </c>
      <c r="BT75" s="241">
        <f t="shared" si="99"/>
        <v>805055</v>
      </c>
    </row>
    <row r="76" spans="1:72" x14ac:dyDescent="0.25">
      <c r="A76" s="201" t="s">
        <v>223</v>
      </c>
      <c r="B76" s="242">
        <v>65000</v>
      </c>
      <c r="C76" s="244"/>
      <c r="D76" s="244"/>
      <c r="E76" s="244"/>
      <c r="F76" s="244"/>
      <c r="G76" s="244"/>
      <c r="H76" s="241">
        <f t="shared" si="90"/>
        <v>65000</v>
      </c>
      <c r="J76" s="242">
        <v>187500</v>
      </c>
      <c r="K76" s="244"/>
      <c r="L76" s="244"/>
      <c r="M76" s="244"/>
      <c r="N76" s="244"/>
      <c r="O76" s="244"/>
      <c r="P76" s="241">
        <f t="shared" si="91"/>
        <v>187500</v>
      </c>
      <c r="R76" s="242">
        <v>65000</v>
      </c>
      <c r="S76" s="244"/>
      <c r="T76" s="244"/>
      <c r="U76" s="244"/>
      <c r="V76" s="244"/>
      <c r="W76" s="244"/>
      <c r="X76" s="241">
        <f t="shared" si="92"/>
        <v>65000</v>
      </c>
      <c r="Z76" s="242">
        <v>65000</v>
      </c>
      <c r="AA76" s="244"/>
      <c r="AB76" s="244"/>
      <c r="AC76" s="244"/>
      <c r="AD76" s="244"/>
      <c r="AE76" s="244"/>
      <c r="AF76" s="241">
        <f t="shared" si="93"/>
        <v>65000</v>
      </c>
      <c r="AH76" s="242">
        <v>187500</v>
      </c>
      <c r="AI76" s="244"/>
      <c r="AJ76" s="244"/>
      <c r="AK76" s="244"/>
      <c r="AL76" s="244"/>
      <c r="AM76" s="244"/>
      <c r="AN76" s="241">
        <f t="shared" si="94"/>
        <v>187500</v>
      </c>
      <c r="AP76" s="242">
        <v>30000</v>
      </c>
      <c r="AQ76" s="244"/>
      <c r="AR76" s="244"/>
      <c r="AS76" s="244"/>
      <c r="AT76" s="244"/>
      <c r="AU76" s="244"/>
      <c r="AV76" s="241">
        <f t="shared" si="95"/>
        <v>30000</v>
      </c>
      <c r="AX76" s="242">
        <v>0</v>
      </c>
      <c r="AY76" s="242"/>
      <c r="AZ76" s="242"/>
      <c r="BA76" s="244"/>
      <c r="BB76" s="244"/>
      <c r="BC76" s="244"/>
      <c r="BD76" s="241">
        <f t="shared" si="96"/>
        <v>0</v>
      </c>
      <c r="BF76" s="242">
        <f>55000*12</f>
        <v>660000</v>
      </c>
      <c r="BG76" s="242"/>
      <c r="BH76" s="242"/>
      <c r="BI76" s="242"/>
      <c r="BJ76" s="242"/>
      <c r="BK76" s="242"/>
      <c r="BL76" s="241">
        <f t="shared" si="97"/>
        <v>660000</v>
      </c>
      <c r="BN76" s="241">
        <f t="shared" si="98"/>
        <v>1260000</v>
      </c>
      <c r="BO76" s="241">
        <f t="shared" si="89"/>
        <v>0</v>
      </c>
      <c r="BP76" s="241">
        <f t="shared" si="89"/>
        <v>0</v>
      </c>
      <c r="BQ76" s="241">
        <f t="shared" si="89"/>
        <v>0</v>
      </c>
      <c r="BR76" s="241">
        <f t="shared" si="89"/>
        <v>0</v>
      </c>
      <c r="BS76" s="241">
        <f t="shared" si="89"/>
        <v>0</v>
      </c>
      <c r="BT76" s="241">
        <f t="shared" si="99"/>
        <v>1260000</v>
      </c>
    </row>
    <row r="77" spans="1:72" x14ac:dyDescent="0.25">
      <c r="A77" s="201" t="s">
        <v>224</v>
      </c>
      <c r="B77" s="244"/>
      <c r="C77" s="244"/>
      <c r="D77" s="244"/>
      <c r="E77" s="244"/>
      <c r="F77" s="244">
        <f>78480+18732</f>
        <v>97212</v>
      </c>
      <c r="G77" s="244"/>
      <c r="H77" s="241">
        <f t="shared" si="90"/>
        <v>97212</v>
      </c>
      <c r="J77" s="244"/>
      <c r="K77" s="244"/>
      <c r="L77" s="244"/>
      <c r="M77" s="244"/>
      <c r="N77" s="244">
        <v>49770</v>
      </c>
      <c r="O77" s="244"/>
      <c r="P77" s="241">
        <f t="shared" si="91"/>
        <v>49770</v>
      </c>
      <c r="R77" s="244"/>
      <c r="S77" s="244"/>
      <c r="T77" s="244"/>
      <c r="U77" s="244"/>
      <c r="V77" s="244">
        <v>0</v>
      </c>
      <c r="W77" s="244"/>
      <c r="X77" s="241">
        <f t="shared" si="92"/>
        <v>0</v>
      </c>
      <c r="Z77" s="244"/>
      <c r="AA77" s="244"/>
      <c r="AB77" s="244"/>
      <c r="AC77" s="244"/>
      <c r="AD77" s="244"/>
      <c r="AE77" s="244"/>
      <c r="AF77" s="241">
        <f t="shared" si="93"/>
        <v>0</v>
      </c>
      <c r="AH77" s="244"/>
      <c r="AI77" s="244"/>
      <c r="AJ77" s="244"/>
      <c r="AK77" s="244"/>
      <c r="AL77" s="244"/>
      <c r="AM77" s="244"/>
      <c r="AN77" s="241">
        <f t="shared" si="94"/>
        <v>0</v>
      </c>
      <c r="AP77" s="244"/>
      <c r="AQ77" s="244"/>
      <c r="AR77" s="244"/>
      <c r="AS77" s="244"/>
      <c r="AT77" s="244">
        <f>172000+5000</f>
        <v>177000</v>
      </c>
      <c r="AU77" s="244"/>
      <c r="AV77" s="241">
        <f t="shared" si="95"/>
        <v>177000</v>
      </c>
      <c r="AX77" s="242"/>
      <c r="AY77" s="242"/>
      <c r="AZ77" s="242"/>
      <c r="BA77" s="244"/>
      <c r="BB77" s="244">
        <v>23520</v>
      </c>
      <c r="BC77" s="244"/>
      <c r="BD77" s="241">
        <f t="shared" si="96"/>
        <v>23520</v>
      </c>
      <c r="BF77" s="242"/>
      <c r="BG77" s="242"/>
      <c r="BH77" s="242"/>
      <c r="BI77" s="242"/>
      <c r="BJ77" s="242">
        <f>145235+192192+290000+120000</f>
        <v>747427</v>
      </c>
      <c r="BK77" s="242"/>
      <c r="BL77" s="241">
        <f t="shared" si="97"/>
        <v>747427</v>
      </c>
      <c r="BN77" s="241">
        <f t="shared" si="98"/>
        <v>0</v>
      </c>
      <c r="BO77" s="241">
        <f t="shared" si="89"/>
        <v>0</v>
      </c>
      <c r="BP77" s="241">
        <f t="shared" si="89"/>
        <v>0</v>
      </c>
      <c r="BQ77" s="241">
        <f t="shared" si="89"/>
        <v>0</v>
      </c>
      <c r="BR77" s="241">
        <f t="shared" si="89"/>
        <v>1094929</v>
      </c>
      <c r="BS77" s="241">
        <f t="shared" si="89"/>
        <v>0</v>
      </c>
      <c r="BT77" s="241">
        <f t="shared" si="99"/>
        <v>1094929</v>
      </c>
    </row>
    <row r="78" spans="1:72" x14ac:dyDescent="0.25">
      <c r="A78" s="201" t="s">
        <v>225</v>
      </c>
      <c r="B78" s="244"/>
      <c r="C78" s="244"/>
      <c r="D78" s="244"/>
      <c r="E78" s="244"/>
      <c r="F78" s="244"/>
      <c r="G78" s="244">
        <v>0</v>
      </c>
      <c r="H78" s="241">
        <f t="shared" si="90"/>
        <v>0</v>
      </c>
      <c r="J78" s="244">
        <f>AX163</f>
        <v>145600</v>
      </c>
      <c r="K78" s="244"/>
      <c r="L78" s="244"/>
      <c r="M78" s="244"/>
      <c r="N78" s="244"/>
      <c r="O78" s="244">
        <v>0</v>
      </c>
      <c r="P78" s="241">
        <f t="shared" si="91"/>
        <v>145600</v>
      </c>
      <c r="R78" s="244"/>
      <c r="S78" s="244"/>
      <c r="T78" s="244"/>
      <c r="U78" s="244"/>
      <c r="V78" s="244"/>
      <c r="W78" s="244">
        <v>0</v>
      </c>
      <c r="X78" s="241">
        <f t="shared" si="92"/>
        <v>0</v>
      </c>
      <c r="Z78" s="244"/>
      <c r="AA78" s="244"/>
      <c r="AB78" s="244"/>
      <c r="AC78" s="244"/>
      <c r="AD78" s="244"/>
      <c r="AE78" s="244">
        <v>0</v>
      </c>
      <c r="AF78" s="241">
        <f t="shared" si="93"/>
        <v>0</v>
      </c>
      <c r="AH78" s="244"/>
      <c r="AI78" s="244"/>
      <c r="AJ78" s="244"/>
      <c r="AK78" s="244"/>
      <c r="AL78" s="244"/>
      <c r="AM78" s="244">
        <v>0</v>
      </c>
      <c r="AN78" s="241">
        <f t="shared" si="94"/>
        <v>0</v>
      </c>
      <c r="AP78" s="244"/>
      <c r="AQ78" s="244"/>
      <c r="AR78" s="244"/>
      <c r="AS78" s="244"/>
      <c r="AT78" s="244"/>
      <c r="AU78" s="244">
        <v>0</v>
      </c>
      <c r="AV78" s="241">
        <f t="shared" si="95"/>
        <v>0</v>
      </c>
      <c r="AX78" s="242"/>
      <c r="AY78" s="242"/>
      <c r="AZ78" s="242"/>
      <c r="BA78" s="244"/>
      <c r="BB78" s="244"/>
      <c r="BC78" s="244">
        <v>0</v>
      </c>
      <c r="BD78" s="241">
        <f t="shared" si="96"/>
        <v>0</v>
      </c>
      <c r="BF78" s="242">
        <v>0</v>
      </c>
      <c r="BG78" s="242"/>
      <c r="BH78" s="242"/>
      <c r="BI78" s="242"/>
      <c r="BJ78" s="242"/>
      <c r="BK78" s="242"/>
      <c r="BL78" s="241">
        <f t="shared" si="97"/>
        <v>0</v>
      </c>
      <c r="BN78" s="241">
        <f t="shared" si="98"/>
        <v>145600</v>
      </c>
      <c r="BO78" s="241">
        <f t="shared" si="89"/>
        <v>0</v>
      </c>
      <c r="BP78" s="241">
        <f t="shared" si="89"/>
        <v>0</v>
      </c>
      <c r="BQ78" s="241">
        <f t="shared" si="89"/>
        <v>0</v>
      </c>
      <c r="BR78" s="241">
        <f t="shared" si="89"/>
        <v>0</v>
      </c>
      <c r="BS78" s="241">
        <f t="shared" si="89"/>
        <v>0</v>
      </c>
      <c r="BT78" s="241">
        <f t="shared" si="99"/>
        <v>145600</v>
      </c>
    </row>
    <row r="79" spans="1:72" x14ac:dyDescent="0.25">
      <c r="A79" s="201" t="s">
        <v>226</v>
      </c>
      <c r="B79" s="244"/>
      <c r="C79" s="244"/>
      <c r="D79" s="244"/>
      <c r="E79" s="244"/>
      <c r="F79" s="244"/>
      <c r="G79" s="244">
        <v>300000</v>
      </c>
      <c r="H79" s="241">
        <f t="shared" si="90"/>
        <v>300000</v>
      </c>
      <c r="J79" s="244"/>
      <c r="K79" s="244"/>
      <c r="L79" s="244"/>
      <c r="M79" s="244"/>
      <c r="N79" s="244"/>
      <c r="O79" s="244">
        <v>1500000</v>
      </c>
      <c r="P79" s="241">
        <f t="shared" si="91"/>
        <v>1500000</v>
      </c>
      <c r="R79" s="244"/>
      <c r="S79" s="244"/>
      <c r="T79" s="244"/>
      <c r="U79" s="244"/>
      <c r="V79" s="244"/>
      <c r="W79" s="244">
        <v>850000</v>
      </c>
      <c r="X79" s="241">
        <f t="shared" si="92"/>
        <v>850000</v>
      </c>
      <c r="Z79" s="244"/>
      <c r="AA79" s="244"/>
      <c r="AB79" s="244"/>
      <c r="AC79" s="244"/>
      <c r="AD79" s="244"/>
      <c r="AE79" s="244">
        <v>900000</v>
      </c>
      <c r="AF79" s="241">
        <f t="shared" si="93"/>
        <v>900000</v>
      </c>
      <c r="AH79" s="244"/>
      <c r="AI79" s="244"/>
      <c r="AJ79" s="244"/>
      <c r="AK79" s="244"/>
      <c r="AL79" s="244"/>
      <c r="AM79" s="244">
        <v>2500000</v>
      </c>
      <c r="AN79" s="241">
        <f t="shared" si="94"/>
        <v>2500000</v>
      </c>
      <c r="AP79" s="244"/>
      <c r="AQ79" s="244"/>
      <c r="AR79" s="244"/>
      <c r="AS79" s="244"/>
      <c r="AT79" s="244"/>
      <c r="AU79" s="244">
        <v>100000</v>
      </c>
      <c r="AV79" s="241">
        <f t="shared" si="95"/>
        <v>100000</v>
      </c>
      <c r="AX79" s="242"/>
      <c r="AY79" s="242"/>
      <c r="AZ79" s="242"/>
      <c r="BA79" s="244"/>
      <c r="BB79" s="244"/>
      <c r="BC79" s="244">
        <v>25000</v>
      </c>
      <c r="BD79" s="241">
        <f t="shared" si="96"/>
        <v>25000</v>
      </c>
      <c r="BF79" s="242"/>
      <c r="BG79" s="242"/>
      <c r="BH79" s="242"/>
      <c r="BI79" s="242"/>
      <c r="BJ79" s="242"/>
      <c r="BK79" s="242"/>
      <c r="BL79" s="241">
        <f t="shared" si="97"/>
        <v>0</v>
      </c>
      <c r="BN79" s="241">
        <f t="shared" si="98"/>
        <v>0</v>
      </c>
      <c r="BO79" s="241">
        <f t="shared" si="89"/>
        <v>0</v>
      </c>
      <c r="BP79" s="241">
        <f t="shared" si="89"/>
        <v>0</v>
      </c>
      <c r="BQ79" s="241">
        <f t="shared" si="89"/>
        <v>0</v>
      </c>
      <c r="BR79" s="241">
        <f t="shared" si="89"/>
        <v>0</v>
      </c>
      <c r="BS79" s="241">
        <f t="shared" si="89"/>
        <v>6175000</v>
      </c>
      <c r="BT79" s="241">
        <f t="shared" si="99"/>
        <v>6175000</v>
      </c>
    </row>
    <row r="80" spans="1:72" x14ac:dyDescent="0.25">
      <c r="A80" s="201" t="s">
        <v>227</v>
      </c>
      <c r="B80" s="244"/>
      <c r="C80" s="244"/>
      <c r="D80" s="242">
        <f>((125*2.57)*180)</f>
        <v>57825</v>
      </c>
      <c r="E80" s="244"/>
      <c r="F80" s="244"/>
      <c r="G80" s="244"/>
      <c r="H80" s="241">
        <f t="shared" si="90"/>
        <v>57825</v>
      </c>
      <c r="J80" s="244"/>
      <c r="K80" s="244"/>
      <c r="L80" s="242">
        <f>((200*2.57)*180)</f>
        <v>92520</v>
      </c>
      <c r="M80" s="244"/>
      <c r="N80" s="244"/>
      <c r="O80" s="244"/>
      <c r="P80" s="241">
        <f t="shared" si="91"/>
        <v>92520</v>
      </c>
      <c r="R80" s="244"/>
      <c r="S80" s="244"/>
      <c r="T80" s="242">
        <v>0</v>
      </c>
      <c r="U80" s="244"/>
      <c r="V80" s="244"/>
      <c r="W80" s="244"/>
      <c r="X80" s="241">
        <f t="shared" si="92"/>
        <v>0</v>
      </c>
      <c r="Z80" s="244"/>
      <c r="AA80" s="244"/>
      <c r="AB80" s="242">
        <v>0</v>
      </c>
      <c r="AC80" s="244"/>
      <c r="AD80" s="244"/>
      <c r="AE80" s="244"/>
      <c r="AF80" s="241">
        <f t="shared" si="93"/>
        <v>0</v>
      </c>
      <c r="AH80" s="244"/>
      <c r="AI80" s="244"/>
      <c r="AJ80" s="242">
        <v>0</v>
      </c>
      <c r="AK80" s="244"/>
      <c r="AL80" s="244"/>
      <c r="AM80" s="244"/>
      <c r="AN80" s="241">
        <f t="shared" si="94"/>
        <v>0</v>
      </c>
      <c r="AP80" s="244"/>
      <c r="AQ80" s="244"/>
      <c r="AR80" s="242">
        <f>(((240*0.9)*2.47)*180)+(((240*0.1)*0.5)*180)</f>
        <v>98193.60000000002</v>
      </c>
      <c r="AS80" s="244"/>
      <c r="AT80" s="244"/>
      <c r="AU80" s="244"/>
      <c r="AV80" s="241">
        <f t="shared" si="95"/>
        <v>98193.60000000002</v>
      </c>
      <c r="AX80" s="242"/>
      <c r="AY80" s="242"/>
      <c r="AZ80" s="242">
        <v>0</v>
      </c>
      <c r="BA80" s="244"/>
      <c r="BB80" s="244"/>
      <c r="BC80" s="244"/>
      <c r="BD80" s="241">
        <f t="shared" si="96"/>
        <v>0</v>
      </c>
      <c r="BF80" s="242"/>
      <c r="BG80" s="242"/>
      <c r="BH80" s="242"/>
      <c r="BI80" s="242"/>
      <c r="BJ80" s="242"/>
      <c r="BK80" s="242"/>
      <c r="BL80" s="241">
        <f t="shared" si="97"/>
        <v>0</v>
      </c>
      <c r="BN80" s="241">
        <f t="shared" si="98"/>
        <v>0</v>
      </c>
      <c r="BO80" s="241">
        <f t="shared" si="89"/>
        <v>0</v>
      </c>
      <c r="BP80" s="241">
        <f t="shared" si="89"/>
        <v>248538.60000000003</v>
      </c>
      <c r="BQ80" s="241">
        <f t="shared" si="89"/>
        <v>0</v>
      </c>
      <c r="BR80" s="241">
        <f t="shared" si="89"/>
        <v>0</v>
      </c>
      <c r="BS80" s="241">
        <f t="shared" si="89"/>
        <v>0</v>
      </c>
      <c r="BT80" s="241">
        <f t="shared" si="99"/>
        <v>248538.60000000003</v>
      </c>
    </row>
    <row r="81" spans="1:72" x14ac:dyDescent="0.25">
      <c r="A81" s="202" t="s">
        <v>228</v>
      </c>
      <c r="B81" s="245"/>
      <c r="C81" s="245"/>
      <c r="D81" s="242">
        <f>(5.21*25*180)+(50*4.32*180)+(175*4.72*180)</f>
        <v>211005</v>
      </c>
      <c r="E81" s="245"/>
      <c r="F81" s="245"/>
      <c r="G81" s="245"/>
      <c r="H81" s="241">
        <f t="shared" si="90"/>
        <v>211005</v>
      </c>
      <c r="J81" s="245"/>
      <c r="K81" s="245"/>
      <c r="L81" s="242">
        <f>(5.21*75*180)+(150*4.32*180)+(300*4.72*180)</f>
        <v>441855</v>
      </c>
      <c r="M81" s="245"/>
      <c r="N81" s="245"/>
      <c r="O81" s="245"/>
      <c r="P81" s="241">
        <f t="shared" si="91"/>
        <v>441855</v>
      </c>
      <c r="R81" s="245"/>
      <c r="S81" s="245"/>
      <c r="T81" s="242">
        <f>(5.21*55*180)+(19*4.32*180)+(91*4.72*180)</f>
        <v>143667</v>
      </c>
      <c r="U81" s="245"/>
      <c r="V81" s="245"/>
      <c r="W81" s="245"/>
      <c r="X81" s="241">
        <f t="shared" si="92"/>
        <v>143667</v>
      </c>
      <c r="Z81" s="245"/>
      <c r="AA81" s="245"/>
      <c r="AB81" s="242">
        <f>(5.21*64*180)+((2*4.32*180)+(39*4.72*180))</f>
        <v>94708.799999999988</v>
      </c>
      <c r="AC81" s="245"/>
      <c r="AD81" s="245"/>
      <c r="AE81" s="245"/>
      <c r="AF81" s="241">
        <f t="shared" si="93"/>
        <v>94708.799999999988</v>
      </c>
      <c r="AH81" s="245"/>
      <c r="AI81" s="245"/>
      <c r="AJ81" s="242">
        <f>(5.21*136*180)+(20*4.32*180)+(119*4.72*180)</f>
        <v>244195.19999999998</v>
      </c>
      <c r="AK81" s="245"/>
      <c r="AL81" s="245"/>
      <c r="AM81" s="245"/>
      <c r="AN81" s="241">
        <f t="shared" si="94"/>
        <v>244195.19999999998</v>
      </c>
      <c r="AP81" s="245"/>
      <c r="AQ81" s="245"/>
      <c r="AR81" s="242">
        <f>(((590*0.9)*4.57)*180)+(((590*0.1)*0.53)*180)</f>
        <v>442429.2</v>
      </c>
      <c r="AS81" s="245"/>
      <c r="AT81" s="245"/>
      <c r="AU81" s="245"/>
      <c r="AV81" s="241">
        <f t="shared" si="95"/>
        <v>442429.2</v>
      </c>
      <c r="AX81" s="282"/>
      <c r="AY81" s="282"/>
      <c r="AZ81" s="242"/>
      <c r="BA81" s="245"/>
      <c r="BB81" s="245"/>
      <c r="BC81" s="245"/>
      <c r="BD81" s="241">
        <f t="shared" si="96"/>
        <v>0</v>
      </c>
      <c r="BF81" s="282"/>
      <c r="BG81" s="282"/>
      <c r="BH81" s="242"/>
      <c r="BI81" s="282"/>
      <c r="BJ81" s="282"/>
      <c r="BK81" s="282"/>
      <c r="BL81" s="241">
        <f t="shared" si="97"/>
        <v>0</v>
      </c>
      <c r="BN81" s="241">
        <f t="shared" si="98"/>
        <v>0</v>
      </c>
      <c r="BO81" s="241">
        <f t="shared" si="89"/>
        <v>0</v>
      </c>
      <c r="BP81" s="241">
        <f t="shared" si="89"/>
        <v>1577860.2</v>
      </c>
      <c r="BQ81" s="241">
        <f t="shared" si="89"/>
        <v>0</v>
      </c>
      <c r="BR81" s="241">
        <f t="shared" si="89"/>
        <v>0</v>
      </c>
      <c r="BS81" s="241">
        <f t="shared" si="89"/>
        <v>0</v>
      </c>
      <c r="BT81" s="241">
        <f t="shared" si="99"/>
        <v>1577860.2</v>
      </c>
    </row>
    <row r="82" spans="1:72" x14ac:dyDescent="0.25">
      <c r="A82" s="203"/>
      <c r="B82" s="246">
        <f>SUM(B68:B81)</f>
        <v>9780568</v>
      </c>
      <c r="C82" s="246">
        <f t="shared" ref="C82:G82" si="100">SUM(C68:C81)</f>
        <v>709442</v>
      </c>
      <c r="D82" s="246">
        <f t="shared" si="100"/>
        <v>268830</v>
      </c>
      <c r="E82" s="246">
        <f t="shared" si="100"/>
        <v>0</v>
      </c>
      <c r="F82" s="246">
        <f t="shared" si="100"/>
        <v>97212</v>
      </c>
      <c r="G82" s="246">
        <f t="shared" si="100"/>
        <v>300000</v>
      </c>
      <c r="H82" s="246">
        <f>SUM(H68:H81)</f>
        <v>11156052</v>
      </c>
      <c r="J82" s="246">
        <f>SUM(J68:J81)</f>
        <v>26565000</v>
      </c>
      <c r="K82" s="246">
        <f t="shared" ref="K82:O82" si="101">SUM(K68:K81)</f>
        <v>1830691</v>
      </c>
      <c r="L82" s="246">
        <f t="shared" si="101"/>
        <v>534375</v>
      </c>
      <c r="M82" s="246">
        <f t="shared" si="101"/>
        <v>0</v>
      </c>
      <c r="N82" s="246">
        <f t="shared" si="101"/>
        <v>49770</v>
      </c>
      <c r="O82" s="246">
        <f t="shared" si="101"/>
        <v>1500000</v>
      </c>
      <c r="P82" s="246">
        <f>SUM(P68:P81)</f>
        <v>30479836</v>
      </c>
      <c r="R82" s="246">
        <f>SUM(R68:R81)</f>
        <v>10733591</v>
      </c>
      <c r="S82" s="246">
        <f t="shared" ref="S82:W82" si="102">SUM(S68:S81)</f>
        <v>567015</v>
      </c>
      <c r="T82" s="246">
        <f t="shared" si="102"/>
        <v>143667</v>
      </c>
      <c r="U82" s="246">
        <f t="shared" si="102"/>
        <v>0</v>
      </c>
      <c r="V82" s="246">
        <f t="shared" si="102"/>
        <v>0</v>
      </c>
      <c r="W82" s="246">
        <f t="shared" si="102"/>
        <v>850000</v>
      </c>
      <c r="X82" s="246">
        <f>SUM(X68:X81)</f>
        <v>12294273</v>
      </c>
      <c r="Z82" s="246">
        <f>SUM(Z68:Z81)</f>
        <v>12490218</v>
      </c>
      <c r="AA82" s="246">
        <f t="shared" ref="AA82:AE82" si="103">SUM(AA68:AA81)</f>
        <v>694106</v>
      </c>
      <c r="AB82" s="246">
        <f t="shared" si="103"/>
        <v>94708.799999999988</v>
      </c>
      <c r="AC82" s="246">
        <f t="shared" si="103"/>
        <v>0</v>
      </c>
      <c r="AD82" s="246">
        <f t="shared" si="103"/>
        <v>0</v>
      </c>
      <c r="AE82" s="246">
        <f t="shared" si="103"/>
        <v>900000</v>
      </c>
      <c r="AF82" s="246">
        <f>SUM(AF68:AF81)</f>
        <v>14179032.800000001</v>
      </c>
      <c r="AH82" s="246">
        <f>SUM(AH68:AH81)</f>
        <v>26249289</v>
      </c>
      <c r="AI82" s="246">
        <f t="shared" ref="AI82:AM82" si="104">SUM(AI68:AI81)</f>
        <v>1468871</v>
      </c>
      <c r="AJ82" s="246">
        <f t="shared" si="104"/>
        <v>244195.19999999998</v>
      </c>
      <c r="AK82" s="246">
        <f t="shared" si="104"/>
        <v>0</v>
      </c>
      <c r="AL82" s="246">
        <f t="shared" si="104"/>
        <v>0</v>
      </c>
      <c r="AM82" s="246">
        <f t="shared" si="104"/>
        <v>2500000</v>
      </c>
      <c r="AN82" s="246">
        <f>SUM(AN68:AN81)</f>
        <v>30462355.199999999</v>
      </c>
      <c r="AP82" s="246">
        <f>SUM(AP68:AP81)</f>
        <v>9854590</v>
      </c>
      <c r="AQ82" s="246">
        <f t="shared" ref="AQ82:AU82" si="105">SUM(AQ68:AQ81)</f>
        <v>611448</v>
      </c>
      <c r="AR82" s="246">
        <f t="shared" si="105"/>
        <v>540622.80000000005</v>
      </c>
      <c r="AS82" s="246">
        <f t="shared" si="105"/>
        <v>0</v>
      </c>
      <c r="AT82" s="246">
        <f t="shared" si="105"/>
        <v>177000</v>
      </c>
      <c r="AU82" s="246">
        <f t="shared" si="105"/>
        <v>100000</v>
      </c>
      <c r="AV82" s="246">
        <f>SUM(AV68:AV81)</f>
        <v>11283660.799999999</v>
      </c>
      <c r="AX82" s="246">
        <f>SUM(AX68:AX81)</f>
        <v>1904518</v>
      </c>
      <c r="AY82" s="246">
        <f t="shared" ref="AY82:BC82" si="106">SUM(AY68:AY81)</f>
        <v>127480</v>
      </c>
      <c r="AZ82" s="246">
        <f t="shared" si="106"/>
        <v>0</v>
      </c>
      <c r="BA82" s="246">
        <f t="shared" si="106"/>
        <v>0</v>
      </c>
      <c r="BB82" s="246">
        <f t="shared" si="106"/>
        <v>23520</v>
      </c>
      <c r="BC82" s="246">
        <f t="shared" si="106"/>
        <v>25000</v>
      </c>
      <c r="BD82" s="246">
        <f>SUM(BD68:BD81)</f>
        <v>2080518</v>
      </c>
      <c r="BF82" s="246">
        <f>SUM(BF68:BF81)</f>
        <v>660000</v>
      </c>
      <c r="BG82" s="246">
        <f t="shared" ref="BG82:BK82" si="107">SUM(BG68:BG81)</f>
        <v>0</v>
      </c>
      <c r="BH82" s="246">
        <f t="shared" si="107"/>
        <v>0</v>
      </c>
      <c r="BI82" s="246">
        <f t="shared" si="107"/>
        <v>0</v>
      </c>
      <c r="BJ82" s="246">
        <f t="shared" si="107"/>
        <v>747427</v>
      </c>
      <c r="BK82" s="246">
        <f t="shared" si="107"/>
        <v>0</v>
      </c>
      <c r="BL82" s="246">
        <f>SUM(BL68:BL81)</f>
        <v>1407427</v>
      </c>
      <c r="BN82" s="246">
        <f>SUM(BN68:BN81)</f>
        <v>98237774</v>
      </c>
      <c r="BO82" s="246">
        <f t="shared" ref="BO82:BS82" si="108">SUM(BO68:BO81)</f>
        <v>6009053</v>
      </c>
      <c r="BP82" s="246">
        <f t="shared" si="108"/>
        <v>1826398.8</v>
      </c>
      <c r="BQ82" s="246">
        <f t="shared" si="108"/>
        <v>0</v>
      </c>
      <c r="BR82" s="246">
        <f t="shared" si="108"/>
        <v>1094929</v>
      </c>
      <c r="BS82" s="246">
        <f t="shared" si="108"/>
        <v>6175000</v>
      </c>
      <c r="BT82" s="246">
        <f>SUM(BT68:BT81)</f>
        <v>113343154.8</v>
      </c>
    </row>
    <row r="84" spans="1:72" x14ac:dyDescent="0.25">
      <c r="A84" s="204"/>
      <c r="B84" s="247" t="s">
        <v>309</v>
      </c>
      <c r="C84" s="247" t="s">
        <v>310</v>
      </c>
      <c r="D84" s="247" t="s">
        <v>311</v>
      </c>
      <c r="E84" s="248" t="str">
        <f>E67</f>
        <v>Other</v>
      </c>
      <c r="F84" s="247" t="s">
        <v>313</v>
      </c>
      <c r="G84" s="247" t="s">
        <v>314</v>
      </c>
      <c r="H84" s="247" t="s">
        <v>59</v>
      </c>
      <c r="J84" s="247" t="s">
        <v>309</v>
      </c>
      <c r="K84" s="247" t="s">
        <v>310</v>
      </c>
      <c r="L84" s="247" t="s">
        <v>311</v>
      </c>
      <c r="M84" s="248" t="str">
        <f>M67</f>
        <v>Other</v>
      </c>
      <c r="N84" s="247" t="s">
        <v>313</v>
      </c>
      <c r="O84" s="247" t="s">
        <v>314</v>
      </c>
      <c r="P84" s="248" t="str">
        <f>P67</f>
        <v>Cadence</v>
      </c>
      <c r="R84" s="247" t="s">
        <v>309</v>
      </c>
      <c r="S84" s="247" t="s">
        <v>310</v>
      </c>
      <c r="T84" s="247" t="s">
        <v>311</v>
      </c>
      <c r="U84" s="248" t="str">
        <f>U67</f>
        <v>Other</v>
      </c>
      <c r="V84" s="247" t="s">
        <v>313</v>
      </c>
      <c r="W84" s="247" t="s">
        <v>314</v>
      </c>
      <c r="X84" s="248" t="str">
        <f>X67</f>
        <v>St. Rose</v>
      </c>
      <c r="Z84" s="247" t="s">
        <v>309</v>
      </c>
      <c r="AA84" s="247" t="s">
        <v>310</v>
      </c>
      <c r="AB84" s="247" t="s">
        <v>311</v>
      </c>
      <c r="AC84" s="248" t="str">
        <f>AC67</f>
        <v>Other</v>
      </c>
      <c r="AD84" s="247" t="s">
        <v>313</v>
      </c>
      <c r="AE84" s="247" t="s">
        <v>314</v>
      </c>
      <c r="AF84" s="248" t="str">
        <f>AF67</f>
        <v>Inspirada</v>
      </c>
      <c r="AH84" s="247" t="s">
        <v>309</v>
      </c>
      <c r="AI84" s="247" t="s">
        <v>310</v>
      </c>
      <c r="AJ84" s="247" t="s">
        <v>311</v>
      </c>
      <c r="AK84" s="248" t="str">
        <f>AK67</f>
        <v>Other</v>
      </c>
      <c r="AL84" s="247" t="s">
        <v>313</v>
      </c>
      <c r="AM84" s="247" t="s">
        <v>314</v>
      </c>
      <c r="AN84" s="248" t="str">
        <f>AN67</f>
        <v>Sloan</v>
      </c>
      <c r="AP84" s="247" t="s">
        <v>309</v>
      </c>
      <c r="AQ84" s="247" t="s">
        <v>310</v>
      </c>
      <c r="AR84" s="247" t="s">
        <v>311</v>
      </c>
      <c r="AS84" s="248" t="str">
        <f>AS67</f>
        <v>Other</v>
      </c>
      <c r="AT84" s="247" t="s">
        <v>313</v>
      </c>
      <c r="AU84" s="247" t="s">
        <v>314</v>
      </c>
      <c r="AV84" s="248" t="str">
        <f>AV67</f>
        <v>Springs</v>
      </c>
      <c r="AX84" s="247" t="s">
        <v>309</v>
      </c>
      <c r="AY84" s="247" t="s">
        <v>310</v>
      </c>
      <c r="AZ84" s="247" t="s">
        <v>311</v>
      </c>
      <c r="BA84" s="248" t="str">
        <f>BA67</f>
        <v>Other</v>
      </c>
      <c r="BB84" s="247" t="s">
        <v>313</v>
      </c>
      <c r="BC84" s="247" t="s">
        <v>314</v>
      </c>
      <c r="BD84" s="248" t="str">
        <f>BD67</f>
        <v>Virtual</v>
      </c>
      <c r="BF84" s="247" t="s">
        <v>309</v>
      </c>
      <c r="BG84" s="247" t="s">
        <v>310</v>
      </c>
      <c r="BH84" s="247" t="s">
        <v>311</v>
      </c>
      <c r="BI84" s="248" t="str">
        <f>BI67</f>
        <v>Other</v>
      </c>
      <c r="BJ84" s="247" t="s">
        <v>313</v>
      </c>
      <c r="BK84" s="247" t="s">
        <v>314</v>
      </c>
      <c r="BL84" s="248" t="str">
        <f>BL67</f>
        <v>Central</v>
      </c>
      <c r="BN84" s="247" t="s">
        <v>309</v>
      </c>
      <c r="BO84" s="247" t="s">
        <v>310</v>
      </c>
      <c r="BP84" s="247" t="s">
        <v>311</v>
      </c>
      <c r="BQ84" s="248" t="str">
        <f>BQ67</f>
        <v>Other</v>
      </c>
      <c r="BR84" s="247" t="s">
        <v>313</v>
      </c>
      <c r="BS84" s="247" t="s">
        <v>314</v>
      </c>
      <c r="BT84" s="248" t="str">
        <f>BT67</f>
        <v>System</v>
      </c>
    </row>
    <row r="85" spans="1:72" x14ac:dyDescent="0.25">
      <c r="A85" s="200" t="s">
        <v>229</v>
      </c>
      <c r="B85" s="249"/>
      <c r="C85" s="249"/>
      <c r="D85" s="249"/>
      <c r="E85" s="257"/>
      <c r="F85" s="249"/>
      <c r="G85" s="249"/>
      <c r="H85" s="241">
        <f>SUM(B85:G85)</f>
        <v>0</v>
      </c>
      <c r="J85" s="249"/>
      <c r="K85" s="249"/>
      <c r="L85" s="249"/>
      <c r="M85" s="257"/>
      <c r="N85" s="249"/>
      <c r="O85" s="249"/>
      <c r="P85" s="241">
        <f>SUM(J85:O85)</f>
        <v>0</v>
      </c>
      <c r="R85" s="249"/>
      <c r="S85" s="249"/>
      <c r="T85" s="249"/>
      <c r="U85" s="257"/>
      <c r="V85" s="249"/>
      <c r="W85" s="249"/>
      <c r="X85" s="241">
        <f>SUM(R85:W85)</f>
        <v>0</v>
      </c>
      <c r="Z85" s="249"/>
      <c r="AA85" s="249"/>
      <c r="AB85" s="249"/>
      <c r="AC85" s="257"/>
      <c r="AD85" s="249"/>
      <c r="AE85" s="249"/>
      <c r="AF85" s="241">
        <f>SUM(Z85:AE85)</f>
        <v>0</v>
      </c>
      <c r="AH85" s="249"/>
      <c r="AI85" s="249"/>
      <c r="AJ85" s="249"/>
      <c r="AK85" s="257"/>
      <c r="AL85" s="249"/>
      <c r="AM85" s="249"/>
      <c r="AN85" s="241">
        <f>SUM(AH85:AM85)</f>
        <v>0</v>
      </c>
      <c r="AP85" s="249"/>
      <c r="AQ85" s="249"/>
      <c r="AR85" s="249"/>
      <c r="AS85" s="257"/>
      <c r="AT85" s="249"/>
      <c r="AU85" s="249"/>
      <c r="AV85" s="241">
        <f>SUM(AP85:AU85)</f>
        <v>0</v>
      </c>
      <c r="AX85" s="249"/>
      <c r="AY85" s="249"/>
      <c r="AZ85" s="249"/>
      <c r="BA85" s="249"/>
      <c r="BB85" s="249"/>
      <c r="BC85" s="249"/>
      <c r="BD85" s="241">
        <f>SUM(AX85:BC85)</f>
        <v>0</v>
      </c>
      <c r="BF85" s="257"/>
      <c r="BG85" s="257"/>
      <c r="BH85" s="257"/>
      <c r="BI85" s="257">
        <v>0</v>
      </c>
      <c r="BJ85" s="257"/>
      <c r="BK85" s="257"/>
      <c r="BL85" s="241">
        <f>SUM(BF85:BK85)</f>
        <v>0</v>
      </c>
      <c r="BN85" s="241">
        <f>B85+J85+R85+Z85+AH85+AP85+AX85+BF85</f>
        <v>0</v>
      </c>
      <c r="BO85" s="241">
        <f t="shared" ref="BO85:BS87" si="109">C85+K85+S85+AA85+AI85+AQ85+AY85+BG85</f>
        <v>0</v>
      </c>
      <c r="BP85" s="241">
        <f t="shared" si="109"/>
        <v>0</v>
      </c>
      <c r="BQ85" s="241">
        <f t="shared" si="109"/>
        <v>0</v>
      </c>
      <c r="BR85" s="241">
        <f t="shared" si="109"/>
        <v>0</v>
      </c>
      <c r="BS85" s="241">
        <f t="shared" si="109"/>
        <v>0</v>
      </c>
      <c r="BT85" s="241">
        <f>SUM(BN85:BS85)</f>
        <v>0</v>
      </c>
    </row>
    <row r="86" spans="1:72" x14ac:dyDescent="0.25">
      <c r="A86" s="201" t="s">
        <v>230</v>
      </c>
      <c r="B86" s="250"/>
      <c r="C86" s="250"/>
      <c r="D86" s="250"/>
      <c r="E86" s="250"/>
      <c r="F86" s="250"/>
      <c r="G86" s="250"/>
      <c r="H86" s="241">
        <f t="shared" ref="H86:H87" si="110">SUM(B86:G86)</f>
        <v>0</v>
      </c>
      <c r="J86" s="250"/>
      <c r="K86" s="250"/>
      <c r="L86" s="250"/>
      <c r="M86" s="250"/>
      <c r="N86" s="250"/>
      <c r="O86" s="250"/>
      <c r="P86" s="241">
        <f t="shared" ref="P86:P87" si="111">SUM(J86:O86)</f>
        <v>0</v>
      </c>
      <c r="R86" s="250"/>
      <c r="S86" s="250"/>
      <c r="T86" s="250"/>
      <c r="U86" s="250"/>
      <c r="V86" s="250"/>
      <c r="W86" s="250"/>
      <c r="X86" s="241">
        <f t="shared" ref="X86:X87" si="112">SUM(R86:W86)</f>
        <v>0</v>
      </c>
      <c r="Z86" s="250"/>
      <c r="AA86" s="250"/>
      <c r="AB86" s="250"/>
      <c r="AC86" s="250"/>
      <c r="AD86" s="250"/>
      <c r="AE86" s="250"/>
      <c r="AF86" s="241">
        <f t="shared" ref="AF86:AF87" si="113">SUM(Z86:AE86)</f>
        <v>0</v>
      </c>
      <c r="AH86" s="250"/>
      <c r="AI86" s="250"/>
      <c r="AJ86" s="250"/>
      <c r="AK86" s="250"/>
      <c r="AL86" s="250"/>
      <c r="AM86" s="250"/>
      <c r="AN86" s="241">
        <f t="shared" ref="AN86:AN87" si="114">SUM(AH86:AM86)</f>
        <v>0</v>
      </c>
      <c r="AP86" s="250"/>
      <c r="AQ86" s="250"/>
      <c r="AR86" s="250"/>
      <c r="AS86" s="244"/>
      <c r="AT86" s="250"/>
      <c r="AU86" s="250"/>
      <c r="AV86" s="241">
        <f t="shared" ref="AV86:AV87" si="115">SUM(AP86:AU86)</f>
        <v>0</v>
      </c>
      <c r="AX86" s="250"/>
      <c r="AY86" s="250"/>
      <c r="AZ86" s="250"/>
      <c r="BA86" s="250"/>
      <c r="BB86" s="250"/>
      <c r="BC86" s="250"/>
      <c r="BD86" s="241">
        <f t="shared" ref="BD86:BD87" si="116">SUM(AX86:BC86)</f>
        <v>0</v>
      </c>
      <c r="BF86" s="244"/>
      <c r="BG86" s="244"/>
      <c r="BH86" s="244"/>
      <c r="BI86" s="244"/>
      <c r="BJ86" s="244"/>
      <c r="BK86" s="244"/>
      <c r="BL86" s="241">
        <f t="shared" ref="BL86:BL87" si="117">SUM(BF86:BK86)</f>
        <v>0</v>
      </c>
      <c r="BN86" s="241">
        <f t="shared" ref="BN86:BN87" si="118">B86+J86+R86+Z86+AH86+AP86+AX86+BF86</f>
        <v>0</v>
      </c>
      <c r="BO86" s="241">
        <f t="shared" si="109"/>
        <v>0</v>
      </c>
      <c r="BP86" s="241">
        <f t="shared" si="109"/>
        <v>0</v>
      </c>
      <c r="BQ86" s="241">
        <f t="shared" si="109"/>
        <v>0</v>
      </c>
      <c r="BR86" s="241">
        <f t="shared" si="109"/>
        <v>0</v>
      </c>
      <c r="BS86" s="241">
        <f t="shared" si="109"/>
        <v>0</v>
      </c>
      <c r="BT86" s="241">
        <f t="shared" ref="BT86:BT87" si="119">SUM(BN86:BS86)</f>
        <v>0</v>
      </c>
    </row>
    <row r="87" spans="1:72" x14ac:dyDescent="0.25">
      <c r="A87" s="202" t="s">
        <v>231</v>
      </c>
      <c r="B87" s="251"/>
      <c r="C87" s="251"/>
      <c r="D87" s="251"/>
      <c r="E87" s="251"/>
      <c r="F87" s="251"/>
      <c r="G87" s="251"/>
      <c r="H87" s="241">
        <f t="shared" si="110"/>
        <v>0</v>
      </c>
      <c r="J87" s="251"/>
      <c r="K87" s="251"/>
      <c r="L87" s="251"/>
      <c r="M87" s="251"/>
      <c r="N87" s="251"/>
      <c r="O87" s="251"/>
      <c r="P87" s="241">
        <f t="shared" si="111"/>
        <v>0</v>
      </c>
      <c r="R87" s="251"/>
      <c r="S87" s="251"/>
      <c r="T87" s="251"/>
      <c r="U87" s="251"/>
      <c r="V87" s="251"/>
      <c r="W87" s="251"/>
      <c r="X87" s="241">
        <f t="shared" si="112"/>
        <v>0</v>
      </c>
      <c r="Z87" s="251"/>
      <c r="AA87" s="251"/>
      <c r="AB87" s="251"/>
      <c r="AC87" s="251"/>
      <c r="AD87" s="251"/>
      <c r="AE87" s="251"/>
      <c r="AF87" s="241">
        <f t="shared" si="113"/>
        <v>0</v>
      </c>
      <c r="AH87" s="251"/>
      <c r="AI87" s="251"/>
      <c r="AJ87" s="251"/>
      <c r="AK87" s="251"/>
      <c r="AL87" s="251"/>
      <c r="AM87" s="251"/>
      <c r="AN87" s="241">
        <f t="shared" si="114"/>
        <v>0</v>
      </c>
      <c r="AP87" s="251"/>
      <c r="AQ87" s="251"/>
      <c r="AR87" s="251"/>
      <c r="AS87" s="245"/>
      <c r="AT87" s="251"/>
      <c r="AU87" s="251"/>
      <c r="AV87" s="241">
        <f t="shared" si="115"/>
        <v>0</v>
      </c>
      <c r="AX87" s="251"/>
      <c r="AY87" s="251"/>
      <c r="AZ87" s="251"/>
      <c r="BA87" s="251"/>
      <c r="BB87" s="251"/>
      <c r="BC87" s="251"/>
      <c r="BD87" s="241">
        <f t="shared" si="116"/>
        <v>0</v>
      </c>
      <c r="BF87" s="245"/>
      <c r="BG87" s="245"/>
      <c r="BH87" s="245"/>
      <c r="BI87" s="245"/>
      <c r="BJ87" s="245"/>
      <c r="BK87" s="245"/>
      <c r="BL87" s="241">
        <f t="shared" si="117"/>
        <v>0</v>
      </c>
      <c r="BN87" s="241">
        <f t="shared" si="118"/>
        <v>0</v>
      </c>
      <c r="BO87" s="241">
        <f t="shared" si="109"/>
        <v>0</v>
      </c>
      <c r="BP87" s="241">
        <f t="shared" si="109"/>
        <v>0</v>
      </c>
      <c r="BQ87" s="241">
        <f t="shared" si="109"/>
        <v>0</v>
      </c>
      <c r="BR87" s="241">
        <f t="shared" si="109"/>
        <v>0</v>
      </c>
      <c r="BS87" s="241">
        <f t="shared" si="109"/>
        <v>0</v>
      </c>
      <c r="BT87" s="241">
        <f t="shared" si="119"/>
        <v>0</v>
      </c>
    </row>
    <row r="88" spans="1:72" x14ac:dyDescent="0.25">
      <c r="A88" s="204"/>
      <c r="B88" s="252">
        <f>SUM(B85:B87)</f>
        <v>0</v>
      </c>
      <c r="C88" s="252">
        <f t="shared" ref="C88:G88" si="120">SUM(C85:C87)</f>
        <v>0</v>
      </c>
      <c r="D88" s="252">
        <f t="shared" si="120"/>
        <v>0</v>
      </c>
      <c r="E88" s="272">
        <f t="shared" si="120"/>
        <v>0</v>
      </c>
      <c r="F88" s="252">
        <f t="shared" si="120"/>
        <v>0</v>
      </c>
      <c r="G88" s="252">
        <f t="shared" si="120"/>
        <v>0</v>
      </c>
      <c r="H88" s="252">
        <f>SUM(H85:H87)</f>
        <v>0</v>
      </c>
      <c r="J88" s="252">
        <f>SUM(J85:J87)</f>
        <v>0</v>
      </c>
      <c r="K88" s="252">
        <f t="shared" ref="K88:O88" si="121">SUM(K85:K87)</f>
        <v>0</v>
      </c>
      <c r="L88" s="252">
        <f t="shared" si="121"/>
        <v>0</v>
      </c>
      <c r="M88" s="272">
        <f t="shared" si="121"/>
        <v>0</v>
      </c>
      <c r="N88" s="252">
        <f t="shared" si="121"/>
        <v>0</v>
      </c>
      <c r="O88" s="252">
        <f t="shared" si="121"/>
        <v>0</v>
      </c>
      <c r="P88" s="272">
        <f>SUM(P85:P87)</f>
        <v>0</v>
      </c>
      <c r="R88" s="252">
        <f>SUM(R85:R87)</f>
        <v>0</v>
      </c>
      <c r="S88" s="252">
        <f t="shared" ref="S88:W88" si="122">SUM(S85:S87)</f>
        <v>0</v>
      </c>
      <c r="T88" s="252">
        <f t="shared" si="122"/>
        <v>0</v>
      </c>
      <c r="U88" s="272">
        <f t="shared" si="122"/>
        <v>0</v>
      </c>
      <c r="V88" s="272">
        <f t="shared" si="122"/>
        <v>0</v>
      </c>
      <c r="W88" s="272">
        <f t="shared" si="122"/>
        <v>0</v>
      </c>
      <c r="X88" s="272">
        <f>SUM(X85:X87)</f>
        <v>0</v>
      </c>
      <c r="Z88" s="252">
        <f>SUM(Z85:Z87)</f>
        <v>0</v>
      </c>
      <c r="AA88" s="252">
        <f t="shared" ref="AA88:AE88" si="123">SUM(AA85:AA87)</f>
        <v>0</v>
      </c>
      <c r="AB88" s="252">
        <f t="shared" si="123"/>
        <v>0</v>
      </c>
      <c r="AC88" s="272">
        <f t="shared" si="123"/>
        <v>0</v>
      </c>
      <c r="AD88" s="252">
        <f t="shared" si="123"/>
        <v>0</v>
      </c>
      <c r="AE88" s="252">
        <f t="shared" si="123"/>
        <v>0</v>
      </c>
      <c r="AF88" s="252">
        <f>SUM(AF85:AF87)</f>
        <v>0</v>
      </c>
      <c r="AH88" s="252">
        <f>SUM(AH85:AH87)</f>
        <v>0</v>
      </c>
      <c r="AI88" s="252">
        <f t="shared" ref="AI88:AM88" si="124">SUM(AI85:AI87)</f>
        <v>0</v>
      </c>
      <c r="AJ88" s="252">
        <f t="shared" si="124"/>
        <v>0</v>
      </c>
      <c r="AK88" s="252">
        <f t="shared" si="124"/>
        <v>0</v>
      </c>
      <c r="AL88" s="252">
        <f t="shared" si="124"/>
        <v>0</v>
      </c>
      <c r="AM88" s="252">
        <f t="shared" si="124"/>
        <v>0</v>
      </c>
      <c r="AN88" s="252">
        <f>SUM(AN85:AN87)</f>
        <v>0</v>
      </c>
      <c r="AP88" s="252">
        <f>SUM(AP85:AP87)</f>
        <v>0</v>
      </c>
      <c r="AQ88" s="252">
        <f t="shared" ref="AQ88:AU88" si="125">SUM(AQ85:AQ87)</f>
        <v>0</v>
      </c>
      <c r="AR88" s="252">
        <f t="shared" si="125"/>
        <v>0</v>
      </c>
      <c r="AS88" s="272">
        <f t="shared" si="125"/>
        <v>0</v>
      </c>
      <c r="AT88" s="252">
        <f t="shared" si="125"/>
        <v>0</v>
      </c>
      <c r="AU88" s="252">
        <f t="shared" si="125"/>
        <v>0</v>
      </c>
      <c r="AV88" s="252">
        <f>SUM(AV85:AV87)</f>
        <v>0</v>
      </c>
      <c r="AX88" s="252">
        <f>SUM(AX85:AX87)</f>
        <v>0</v>
      </c>
      <c r="AY88" s="252">
        <f t="shared" ref="AY88:BC88" si="126">SUM(AY85:AY87)</f>
        <v>0</v>
      </c>
      <c r="AZ88" s="252">
        <f t="shared" si="126"/>
        <v>0</v>
      </c>
      <c r="BA88" s="252">
        <f t="shared" si="126"/>
        <v>0</v>
      </c>
      <c r="BB88" s="252">
        <f t="shared" si="126"/>
        <v>0</v>
      </c>
      <c r="BC88" s="252">
        <f t="shared" si="126"/>
        <v>0</v>
      </c>
      <c r="BD88" s="252">
        <f>SUM(BD85:BD87)</f>
        <v>0</v>
      </c>
      <c r="BF88" s="272">
        <f>SUM(BF85:BF87)</f>
        <v>0</v>
      </c>
      <c r="BG88" s="272">
        <f t="shared" ref="BG88:BK88" si="127">SUM(BG85:BG87)</f>
        <v>0</v>
      </c>
      <c r="BH88" s="272">
        <f t="shared" si="127"/>
        <v>0</v>
      </c>
      <c r="BI88" s="272">
        <f t="shared" si="127"/>
        <v>0</v>
      </c>
      <c r="BJ88" s="272">
        <f t="shared" si="127"/>
        <v>0</v>
      </c>
      <c r="BK88" s="272">
        <f t="shared" si="127"/>
        <v>0</v>
      </c>
      <c r="BL88" s="252">
        <f>SUM(BL85:BL87)</f>
        <v>0</v>
      </c>
      <c r="BN88" s="272">
        <f>SUM(BN85:BN87)</f>
        <v>0</v>
      </c>
      <c r="BO88" s="272">
        <f t="shared" ref="BO88:BS88" si="128">SUM(BO85:BO87)</f>
        <v>0</v>
      </c>
      <c r="BP88" s="272">
        <f t="shared" si="128"/>
        <v>0</v>
      </c>
      <c r="BQ88" s="272">
        <f t="shared" si="128"/>
        <v>0</v>
      </c>
      <c r="BR88" s="272">
        <f t="shared" si="128"/>
        <v>0</v>
      </c>
      <c r="BS88" s="272">
        <f t="shared" si="128"/>
        <v>0</v>
      </c>
      <c r="BT88" s="252">
        <f>SUM(BT85:BT87)</f>
        <v>0</v>
      </c>
    </row>
    <row r="89" spans="1:72" x14ac:dyDescent="0.25">
      <c r="AS89" s="259"/>
    </row>
    <row r="90" spans="1:72" ht="16.5" thickBot="1" x14ac:dyDescent="0.3"/>
    <row r="91" spans="1:72" x14ac:dyDescent="0.25">
      <c r="A91" s="205" t="s">
        <v>328</v>
      </c>
      <c r="B91" s="253" t="s">
        <v>309</v>
      </c>
      <c r="C91" s="253" t="s">
        <v>310</v>
      </c>
      <c r="D91" s="253" t="s">
        <v>311</v>
      </c>
      <c r="E91" s="254" t="str">
        <f>E84</f>
        <v>Other</v>
      </c>
      <c r="F91" s="253" t="s">
        <v>313</v>
      </c>
      <c r="G91" s="253" t="s">
        <v>314</v>
      </c>
      <c r="H91" s="255" t="s">
        <v>59</v>
      </c>
      <c r="J91" s="253" t="s">
        <v>309</v>
      </c>
      <c r="K91" s="253" t="s">
        <v>310</v>
      </c>
      <c r="L91" s="253" t="s">
        <v>311</v>
      </c>
      <c r="M91" s="254" t="str">
        <f>M84</f>
        <v>Other</v>
      </c>
      <c r="N91" s="253" t="s">
        <v>313</v>
      </c>
      <c r="O91" s="253" t="s">
        <v>314</v>
      </c>
      <c r="P91" s="275" t="str">
        <f>P84</f>
        <v>Cadence</v>
      </c>
      <c r="R91" s="253" t="s">
        <v>309</v>
      </c>
      <c r="S91" s="253" t="s">
        <v>310</v>
      </c>
      <c r="T91" s="253" t="s">
        <v>311</v>
      </c>
      <c r="U91" s="254" t="str">
        <f>U84</f>
        <v>Other</v>
      </c>
      <c r="V91" s="253" t="s">
        <v>313</v>
      </c>
      <c r="W91" s="253" t="s">
        <v>314</v>
      </c>
      <c r="X91" s="275" t="str">
        <f>X84</f>
        <v>St. Rose</v>
      </c>
      <c r="Z91" s="253" t="s">
        <v>309</v>
      </c>
      <c r="AA91" s="253" t="s">
        <v>310</v>
      </c>
      <c r="AB91" s="253" t="s">
        <v>311</v>
      </c>
      <c r="AC91" s="254" t="str">
        <f>AC84</f>
        <v>Other</v>
      </c>
      <c r="AD91" s="253" t="s">
        <v>313</v>
      </c>
      <c r="AE91" s="253" t="s">
        <v>314</v>
      </c>
      <c r="AF91" s="275" t="str">
        <f>AF84</f>
        <v>Inspirada</v>
      </c>
      <c r="AH91" s="253" t="s">
        <v>309</v>
      </c>
      <c r="AI91" s="253" t="s">
        <v>310</v>
      </c>
      <c r="AJ91" s="253" t="s">
        <v>311</v>
      </c>
      <c r="AK91" s="254" t="str">
        <f>AK84</f>
        <v>Other</v>
      </c>
      <c r="AL91" s="253" t="s">
        <v>313</v>
      </c>
      <c r="AM91" s="253" t="s">
        <v>314</v>
      </c>
      <c r="AN91" s="275" t="str">
        <f>AN84</f>
        <v>Sloan</v>
      </c>
      <c r="AP91" s="253" t="s">
        <v>309</v>
      </c>
      <c r="AQ91" s="253" t="s">
        <v>310</v>
      </c>
      <c r="AR91" s="253" t="s">
        <v>311</v>
      </c>
      <c r="AS91" s="254" t="str">
        <f>AS84</f>
        <v>Other</v>
      </c>
      <c r="AT91" s="253" t="s">
        <v>313</v>
      </c>
      <c r="AU91" s="253" t="s">
        <v>314</v>
      </c>
      <c r="AV91" s="275" t="str">
        <f>AV84</f>
        <v>Springs</v>
      </c>
      <c r="AX91" s="253" t="s">
        <v>309</v>
      </c>
      <c r="AY91" s="253" t="s">
        <v>310</v>
      </c>
      <c r="AZ91" s="253" t="s">
        <v>311</v>
      </c>
      <c r="BA91" s="254" t="str">
        <f>BA84</f>
        <v>Other</v>
      </c>
      <c r="BB91" s="253" t="s">
        <v>313</v>
      </c>
      <c r="BC91" s="253" t="s">
        <v>314</v>
      </c>
      <c r="BD91" s="275" t="str">
        <f>BD84</f>
        <v>Virtual</v>
      </c>
      <c r="BF91" s="253" t="s">
        <v>309</v>
      </c>
      <c r="BG91" s="253" t="s">
        <v>310</v>
      </c>
      <c r="BH91" s="253" t="s">
        <v>311</v>
      </c>
      <c r="BI91" s="254" t="str">
        <f>BI84</f>
        <v>Other</v>
      </c>
      <c r="BJ91" s="253" t="s">
        <v>313</v>
      </c>
      <c r="BK91" s="253" t="s">
        <v>314</v>
      </c>
      <c r="BL91" s="275" t="str">
        <f>BL84</f>
        <v>Central</v>
      </c>
      <c r="BN91" s="253" t="s">
        <v>309</v>
      </c>
      <c r="BO91" s="253" t="s">
        <v>310</v>
      </c>
      <c r="BP91" s="253" t="s">
        <v>311</v>
      </c>
      <c r="BQ91" s="254" t="str">
        <f>BQ84</f>
        <v>Other</v>
      </c>
      <c r="BR91" s="253" t="s">
        <v>313</v>
      </c>
      <c r="BS91" s="253" t="s">
        <v>314</v>
      </c>
      <c r="BT91" s="275" t="str">
        <f>BT84</f>
        <v>System</v>
      </c>
    </row>
    <row r="92" spans="1:72" x14ac:dyDescent="0.25">
      <c r="A92" s="206" t="s">
        <v>327</v>
      </c>
      <c r="B92" s="256"/>
      <c r="C92" s="256"/>
      <c r="D92" s="256"/>
      <c r="E92" s="256"/>
      <c r="F92" s="256"/>
      <c r="G92" s="256"/>
      <c r="H92" s="256"/>
      <c r="J92" s="256"/>
      <c r="K92" s="256"/>
      <c r="L92" s="256"/>
      <c r="M92" s="256"/>
      <c r="N92" s="256"/>
      <c r="O92" s="256"/>
      <c r="P92" s="256"/>
      <c r="R92" s="256"/>
      <c r="S92" s="256"/>
      <c r="T92" s="256"/>
      <c r="U92" s="256"/>
      <c r="V92" s="256"/>
      <c r="W92" s="256"/>
      <c r="X92" s="256"/>
      <c r="Z92" s="256"/>
      <c r="AA92" s="256"/>
      <c r="AB92" s="256"/>
      <c r="AC92" s="256"/>
      <c r="AD92" s="256"/>
      <c r="AE92" s="256"/>
      <c r="AF92" s="256"/>
      <c r="AH92" s="256"/>
      <c r="AI92" s="256"/>
      <c r="AJ92" s="256"/>
      <c r="AK92" s="256"/>
      <c r="AL92" s="256"/>
      <c r="AM92" s="256"/>
      <c r="AN92" s="256"/>
      <c r="AP92" s="256"/>
      <c r="AQ92" s="256"/>
      <c r="AR92" s="256"/>
      <c r="AS92" s="256"/>
      <c r="AT92" s="256"/>
      <c r="AU92" s="256"/>
      <c r="AV92" s="256"/>
      <c r="AX92" s="256"/>
      <c r="AY92" s="256"/>
      <c r="AZ92" s="256"/>
      <c r="BA92" s="256"/>
      <c r="BB92" s="256"/>
      <c r="BC92" s="256"/>
      <c r="BD92" s="256"/>
      <c r="BF92" s="256"/>
      <c r="BG92" s="256"/>
      <c r="BH92" s="256"/>
      <c r="BI92" s="256"/>
      <c r="BJ92" s="256"/>
      <c r="BK92" s="256"/>
      <c r="BL92" s="256"/>
      <c r="BN92" s="256"/>
      <c r="BO92" s="256"/>
      <c r="BP92" s="256"/>
      <c r="BQ92" s="256"/>
      <c r="BR92" s="256"/>
      <c r="BS92" s="256"/>
      <c r="BT92" s="256"/>
    </row>
    <row r="93" spans="1:72" x14ac:dyDescent="0.25">
      <c r="A93" s="200" t="s">
        <v>53</v>
      </c>
      <c r="B93" s="241">
        <f>163728*1.03*1.02*1.02*1.02*1.02</f>
        <v>182541.1862732544</v>
      </c>
      <c r="C93" s="257"/>
      <c r="D93" s="257"/>
      <c r="E93" s="257"/>
      <c r="F93" s="257"/>
      <c r="G93" s="257"/>
      <c r="H93" s="241">
        <f>SUM(B93:G93)</f>
        <v>182541.1862732544</v>
      </c>
      <c r="J93" s="241">
        <f>170130*1.03*1.02*1.02*1.02*1.02</f>
        <v>189678.80888222402</v>
      </c>
      <c r="K93" s="257"/>
      <c r="L93" s="257"/>
      <c r="M93" s="257"/>
      <c r="N93" s="257"/>
      <c r="O93" s="257"/>
      <c r="P93" s="241">
        <f>SUM(J93:O93)</f>
        <v>189678.80888222402</v>
      </c>
      <c r="R93" s="241">
        <f>159474*1.03*1.02*1.02*1.02*1.02</f>
        <v>177798.3798723552</v>
      </c>
      <c r="S93" s="257"/>
      <c r="T93" s="257"/>
      <c r="U93" s="257"/>
      <c r="V93" s="257"/>
      <c r="W93" s="257"/>
      <c r="X93" s="241">
        <f>SUM(R93:W93)</f>
        <v>177798.3798723552</v>
      </c>
      <c r="Z93" s="257">
        <f>223452*1.03*1.02*1.02*1.02*1.02</f>
        <v>249127.77994680961</v>
      </c>
      <c r="AA93" s="257"/>
      <c r="AB93" s="257"/>
      <c r="AC93" s="257"/>
      <c r="AD93" s="257"/>
      <c r="AE93" s="257"/>
      <c r="AF93" s="241">
        <f>SUM(Z93:AE93)</f>
        <v>249127.77994680961</v>
      </c>
      <c r="AH93" s="241">
        <f>180277*1.02*1.02*1.02*1.02</f>
        <v>195137.62250832</v>
      </c>
      <c r="AI93" s="257"/>
      <c r="AJ93" s="257"/>
      <c r="AK93" s="257"/>
      <c r="AL93" s="257"/>
      <c r="AM93" s="257"/>
      <c r="AN93" s="241">
        <f>SUM(AH93:AM93)</f>
        <v>195137.62250832</v>
      </c>
      <c r="AP93" s="257">
        <f>135000*1.03*1.02*1.02*1.02</f>
        <v>147560.9724</v>
      </c>
      <c r="AQ93" s="257"/>
      <c r="AR93" s="257"/>
      <c r="AS93" s="257"/>
      <c r="AT93" s="257"/>
      <c r="AU93" s="257"/>
      <c r="AV93" s="241">
        <f>SUM(AP93:AU93)</f>
        <v>147560.9724</v>
      </c>
      <c r="AX93" s="257"/>
      <c r="AY93" s="257"/>
      <c r="AZ93" s="257"/>
      <c r="BA93" s="257"/>
      <c r="BB93" s="257"/>
      <c r="BC93" s="257"/>
      <c r="BD93" s="241">
        <f>SUM(AX93:BC93)</f>
        <v>0</v>
      </c>
      <c r="BF93" s="257"/>
      <c r="BG93" s="257"/>
      <c r="BH93" s="257"/>
      <c r="BI93" s="257"/>
      <c r="BJ93" s="257"/>
      <c r="BK93" s="257"/>
      <c r="BL93" s="241">
        <f>SUM(BF93:BK93)</f>
        <v>0</v>
      </c>
      <c r="BN93" s="241">
        <f>B93+J93+R93+Z93+AH93+AP93+AX93+BF93</f>
        <v>1141844.7498829633</v>
      </c>
      <c r="BO93" s="241">
        <f t="shared" ref="BO93:BS108" si="129">C93+K93+S93+AA93+AI93+AQ93+AY93+BG93</f>
        <v>0</v>
      </c>
      <c r="BP93" s="241">
        <f t="shared" si="129"/>
        <v>0</v>
      </c>
      <c r="BQ93" s="241">
        <f t="shared" si="129"/>
        <v>0</v>
      </c>
      <c r="BR93" s="241">
        <f t="shared" si="129"/>
        <v>0</v>
      </c>
      <c r="BS93" s="241">
        <f t="shared" si="129"/>
        <v>0</v>
      </c>
      <c r="BT93" s="241">
        <f>SUM(BN93:BS93)</f>
        <v>1141844.7498829633</v>
      </c>
    </row>
    <row r="94" spans="1:72" x14ac:dyDescent="0.25">
      <c r="A94" s="201" t="s">
        <v>232</v>
      </c>
      <c r="B94" s="244">
        <f>(102000+102000)*1.01*1.01*1.01*1.01</f>
        <v>212283.21804000001</v>
      </c>
      <c r="C94" s="244">
        <f>92000*1.01*1.01*1.01*1.01</f>
        <v>95735.568919999991</v>
      </c>
      <c r="D94" s="244"/>
      <c r="E94" s="244"/>
      <c r="F94" s="244"/>
      <c r="G94" s="244"/>
      <c r="H94" s="241">
        <f t="shared" ref="H94:H115" si="130">SUM(B94:G94)</f>
        <v>308018.78696</v>
      </c>
      <c r="J94" s="244">
        <f>(96050+114500+117100+89715+100000+120000)*1.01*1.01*1.01*1.01</f>
        <v>663244.57483365003</v>
      </c>
      <c r="K94" s="244"/>
      <c r="L94" s="244"/>
      <c r="M94" s="244"/>
      <c r="N94" s="244"/>
      <c r="O94" s="244"/>
      <c r="P94" s="241">
        <f t="shared" ref="P94:P115" si="131">SUM(J94:O94)</f>
        <v>663244.57483365003</v>
      </c>
      <c r="R94" s="244">
        <f>(107000+101000+105000)*1.01*1.01*1.01*1.01</f>
        <v>325709.05512999999</v>
      </c>
      <c r="S94" s="244"/>
      <c r="T94" s="244"/>
      <c r="U94" s="244"/>
      <c r="V94" s="244"/>
      <c r="W94" s="244"/>
      <c r="X94" s="241">
        <f t="shared" ref="X94:X115" si="132">SUM(R94:W94)</f>
        <v>325709.05512999999</v>
      </c>
      <c r="Z94" s="244">
        <f>(116390+90640)*1.01*1.01*1.01*1.01</f>
        <v>215436.24819029999</v>
      </c>
      <c r="AA94" s="244"/>
      <c r="AB94" s="244"/>
      <c r="AC94" s="244"/>
      <c r="AD94" s="244"/>
      <c r="AE94" s="244"/>
      <c r="AF94" s="241">
        <f t="shared" ref="AF94:AF115" si="133">SUM(Z94:AE94)</f>
        <v>215436.24819029999</v>
      </c>
      <c r="AH94" s="244">
        <f>(122000+107000+107000+97000)*1.01*1.01*1.01*1.01</f>
        <v>450581.53632999997</v>
      </c>
      <c r="AI94" s="244"/>
      <c r="AJ94" s="244"/>
      <c r="AK94" s="244"/>
      <c r="AL94" s="244"/>
      <c r="AM94" s="244"/>
      <c r="AN94" s="241">
        <f t="shared" ref="AN94:AN115" si="134">SUM(AH94:AM94)</f>
        <v>450581.53632999997</v>
      </c>
      <c r="AP94" s="244">
        <f>(90000+90000)*1.01*1.01*1.01</f>
        <v>185454.18</v>
      </c>
      <c r="AQ94" s="244"/>
      <c r="AR94" s="244"/>
      <c r="AS94" s="244"/>
      <c r="AT94" s="244"/>
      <c r="AU94" s="244"/>
      <c r="AV94" s="241">
        <f t="shared" ref="AV94:AV115" si="135">SUM(AP94:AU94)</f>
        <v>185454.18</v>
      </c>
      <c r="AX94" s="244"/>
      <c r="AY94" s="244"/>
      <c r="AZ94" s="244"/>
      <c r="BA94" s="244"/>
      <c r="BB94" s="244"/>
      <c r="BC94" s="244"/>
      <c r="BD94" s="241">
        <f t="shared" ref="BD94:BD115" si="136">SUM(AX94:BC94)</f>
        <v>0</v>
      </c>
      <c r="BF94" s="244">
        <f>(92700+1500+1000)*1.01*1.01*1.01*1.01</f>
        <v>99065.501752000011</v>
      </c>
      <c r="BG94" s="244"/>
      <c r="BH94" s="244"/>
      <c r="BI94" s="244"/>
      <c r="BJ94" s="244"/>
      <c r="BK94" s="244"/>
      <c r="BL94" s="241">
        <f t="shared" ref="BL94:BL115" si="137">SUM(BF94:BK94)</f>
        <v>99065.501752000011</v>
      </c>
      <c r="BN94" s="241">
        <f t="shared" ref="BN94:BN108" si="138">B94+J94+R94+Z94+AH94+AP94+AX94+BF94</f>
        <v>2151774.3142759502</v>
      </c>
      <c r="BO94" s="241">
        <f t="shared" si="129"/>
        <v>95735.568919999991</v>
      </c>
      <c r="BP94" s="241">
        <f t="shared" si="129"/>
        <v>0</v>
      </c>
      <c r="BQ94" s="241">
        <f t="shared" si="129"/>
        <v>0</v>
      </c>
      <c r="BR94" s="241">
        <f t="shared" si="129"/>
        <v>0</v>
      </c>
      <c r="BS94" s="241">
        <f t="shared" si="129"/>
        <v>0</v>
      </c>
      <c r="BT94" s="241">
        <f t="shared" ref="BT94:BT96" si="139">SUM(BN94:BS94)</f>
        <v>2247509.8831959502</v>
      </c>
    </row>
    <row r="95" spans="1:72" x14ac:dyDescent="0.25">
      <c r="A95" s="201" t="s">
        <v>195</v>
      </c>
      <c r="B95" s="244"/>
      <c r="C95" s="244"/>
      <c r="D95" s="244"/>
      <c r="E95" s="244"/>
      <c r="F95" s="244"/>
      <c r="G95" s="244"/>
      <c r="H95" s="241">
        <f t="shared" si="130"/>
        <v>0</v>
      </c>
      <c r="J95" s="244">
        <f>(80500+81500+75050+80450+80000)*1.01*1.01*1.01*1.01</f>
        <v>413640.09397500003</v>
      </c>
      <c r="K95" s="244"/>
      <c r="L95" s="244"/>
      <c r="M95" s="244"/>
      <c r="N95" s="244"/>
      <c r="O95" s="244"/>
      <c r="P95" s="241">
        <f t="shared" si="131"/>
        <v>413640.09397500003</v>
      </c>
      <c r="R95" s="244">
        <f>87000*1.01*1.01*1.01*1.01</f>
        <v>90532.548869999999</v>
      </c>
      <c r="S95" s="244"/>
      <c r="T95" s="244"/>
      <c r="U95" s="244"/>
      <c r="V95" s="244"/>
      <c r="W95" s="244"/>
      <c r="X95" s="241">
        <f t="shared" si="132"/>
        <v>90532.548869999999</v>
      </c>
      <c r="Z95" s="244">
        <f>82400*1.01*1.01*1.01*1.01</f>
        <v>85745.770424000002</v>
      </c>
      <c r="AA95" s="244"/>
      <c r="AB95" s="244"/>
      <c r="AC95" s="244"/>
      <c r="AD95" s="244"/>
      <c r="AE95" s="244"/>
      <c r="AF95" s="241">
        <f t="shared" si="133"/>
        <v>85745.770424000002</v>
      </c>
      <c r="AH95" s="244">
        <f>(77500+75000+85000+82000)*1.01*1.01*1.01*1.01</f>
        <v>332472.981195</v>
      </c>
      <c r="AI95" s="244"/>
      <c r="AJ95" s="244"/>
      <c r="AK95" s="244"/>
      <c r="AL95" s="244"/>
      <c r="AM95" s="244"/>
      <c r="AN95" s="241">
        <f t="shared" si="134"/>
        <v>332472.981195</v>
      </c>
      <c r="AP95" s="244"/>
      <c r="AQ95" s="244"/>
      <c r="AR95" s="244"/>
      <c r="AS95" s="244"/>
      <c r="AT95" s="244"/>
      <c r="AU95" s="244"/>
      <c r="AV95" s="241">
        <f t="shared" si="135"/>
        <v>0</v>
      </c>
      <c r="AX95" s="244"/>
      <c r="AY95" s="244"/>
      <c r="AZ95" s="244"/>
      <c r="BA95" s="244"/>
      <c r="BB95" s="244"/>
      <c r="BC95" s="244"/>
      <c r="BD95" s="241">
        <f t="shared" si="136"/>
        <v>0</v>
      </c>
      <c r="BF95" s="244"/>
      <c r="BG95" s="244"/>
      <c r="BH95" s="244"/>
      <c r="BI95" s="244"/>
      <c r="BJ95" s="244"/>
      <c r="BK95" s="244"/>
      <c r="BL95" s="241">
        <f t="shared" si="137"/>
        <v>0</v>
      </c>
      <c r="BN95" s="241">
        <f t="shared" si="138"/>
        <v>922391.39446400001</v>
      </c>
      <c r="BO95" s="241">
        <f t="shared" si="129"/>
        <v>0</v>
      </c>
      <c r="BP95" s="241">
        <f t="shared" si="129"/>
        <v>0</v>
      </c>
      <c r="BQ95" s="241">
        <f t="shared" si="129"/>
        <v>0</v>
      </c>
      <c r="BR95" s="241">
        <f t="shared" si="129"/>
        <v>0</v>
      </c>
      <c r="BS95" s="241">
        <f t="shared" si="129"/>
        <v>0</v>
      </c>
      <c r="BT95" s="241">
        <f t="shared" si="139"/>
        <v>922391.39446400001</v>
      </c>
    </row>
    <row r="96" spans="1:72" x14ac:dyDescent="0.25">
      <c r="A96" s="201" t="s">
        <v>233</v>
      </c>
      <c r="B96" s="244"/>
      <c r="C96" s="244"/>
      <c r="D96" s="244"/>
      <c r="E96" s="244"/>
      <c r="F96" s="244"/>
      <c r="G96" s="244"/>
      <c r="H96" s="241">
        <f t="shared" si="130"/>
        <v>0</v>
      </c>
      <c r="J96" s="244">
        <f>76750*1.01*1.01*1.01*1.01</f>
        <v>79866.357767499998</v>
      </c>
      <c r="K96" s="244"/>
      <c r="L96" s="244"/>
      <c r="M96" s="244"/>
      <c r="N96" s="244"/>
      <c r="O96" s="244"/>
      <c r="P96" s="241">
        <f t="shared" si="131"/>
        <v>79866.357767499998</v>
      </c>
      <c r="R96" s="244"/>
      <c r="S96" s="244"/>
      <c r="T96" s="244"/>
      <c r="U96" s="244"/>
      <c r="V96" s="244"/>
      <c r="W96" s="244"/>
      <c r="X96" s="241">
        <f t="shared" si="132"/>
        <v>0</v>
      </c>
      <c r="Z96" s="244"/>
      <c r="AA96" s="244"/>
      <c r="AB96" s="244"/>
      <c r="AC96" s="244"/>
      <c r="AD96" s="244"/>
      <c r="AE96" s="244"/>
      <c r="AF96" s="241">
        <f t="shared" si="133"/>
        <v>0</v>
      </c>
      <c r="AH96" s="242"/>
      <c r="AI96" s="244"/>
      <c r="AJ96" s="244"/>
      <c r="AK96" s="244"/>
      <c r="AL96" s="244"/>
      <c r="AM96" s="244"/>
      <c r="AN96" s="241">
        <f t="shared" si="134"/>
        <v>0</v>
      </c>
      <c r="AP96" s="244"/>
      <c r="AQ96" s="244"/>
      <c r="AR96" s="244"/>
      <c r="AS96" s="244"/>
      <c r="AT96" s="244"/>
      <c r="AU96" s="244"/>
      <c r="AV96" s="241">
        <f t="shared" si="135"/>
        <v>0</v>
      </c>
      <c r="AX96" s="244"/>
      <c r="AY96" s="244"/>
      <c r="AZ96" s="244"/>
      <c r="BA96" s="244"/>
      <c r="BB96" s="244"/>
      <c r="BC96" s="244"/>
      <c r="BD96" s="241">
        <f t="shared" si="136"/>
        <v>0</v>
      </c>
      <c r="BF96" s="244"/>
      <c r="BG96" s="244"/>
      <c r="BH96" s="244"/>
      <c r="BI96" s="244"/>
      <c r="BJ96" s="244"/>
      <c r="BK96" s="244"/>
      <c r="BL96" s="241">
        <f t="shared" si="137"/>
        <v>0</v>
      </c>
      <c r="BN96" s="241">
        <f t="shared" si="138"/>
        <v>79866.357767499998</v>
      </c>
      <c r="BO96" s="241">
        <f t="shared" si="129"/>
        <v>0</v>
      </c>
      <c r="BP96" s="241">
        <f t="shared" si="129"/>
        <v>0</v>
      </c>
      <c r="BQ96" s="241">
        <f t="shared" si="129"/>
        <v>0</v>
      </c>
      <c r="BR96" s="241">
        <f t="shared" si="129"/>
        <v>0</v>
      </c>
      <c r="BS96" s="241">
        <f t="shared" si="129"/>
        <v>0</v>
      </c>
      <c r="BT96" s="241">
        <f t="shared" si="139"/>
        <v>79866.357767499998</v>
      </c>
    </row>
    <row r="97" spans="1:72" x14ac:dyDescent="0.25">
      <c r="A97" s="201" t="s">
        <v>234</v>
      </c>
      <c r="B97" s="244"/>
      <c r="C97" s="244"/>
      <c r="D97" s="244"/>
      <c r="E97" s="244"/>
      <c r="F97" s="244"/>
      <c r="G97" s="244"/>
      <c r="H97" s="241">
        <f t="shared" si="130"/>
        <v>0</v>
      </c>
      <c r="J97" s="244">
        <f>(87000+74160+65000+75000)*1.01*1.01*1.01*1.01</f>
        <v>313388.30365160003</v>
      </c>
      <c r="K97" s="244"/>
      <c r="L97" s="244"/>
      <c r="M97" s="244"/>
      <c r="N97" s="244"/>
      <c r="O97" s="244"/>
      <c r="P97" s="241">
        <f t="shared" si="131"/>
        <v>313388.30365160003</v>
      </c>
      <c r="R97" s="244"/>
      <c r="S97" s="244"/>
      <c r="T97" s="244"/>
      <c r="U97" s="244"/>
      <c r="V97" s="244"/>
      <c r="W97" s="244"/>
      <c r="X97" s="241">
        <f t="shared" si="132"/>
        <v>0</v>
      </c>
      <c r="Z97" s="244"/>
      <c r="AA97" s="244"/>
      <c r="AB97" s="244"/>
      <c r="AC97" s="244"/>
      <c r="AD97" s="244"/>
      <c r="AE97" s="244"/>
      <c r="AF97" s="241">
        <f t="shared" si="133"/>
        <v>0</v>
      </c>
      <c r="AH97" s="244">
        <f>(75000+85500+75000)*1.01*1.01*1.01*1.01</f>
        <v>245062.244355</v>
      </c>
      <c r="AI97" s="244"/>
      <c r="AJ97" s="244"/>
      <c r="AK97" s="244"/>
      <c r="AL97" s="244"/>
      <c r="AM97" s="244"/>
      <c r="AN97" s="241">
        <f t="shared" si="134"/>
        <v>245062.244355</v>
      </c>
      <c r="AP97" s="244"/>
      <c r="AQ97" s="244"/>
      <c r="AR97" s="244"/>
      <c r="AS97" s="244"/>
      <c r="AT97" s="244"/>
      <c r="AU97" s="244"/>
      <c r="AV97" s="241">
        <f t="shared" si="135"/>
        <v>0</v>
      </c>
      <c r="AX97" s="244"/>
      <c r="AY97" s="244"/>
      <c r="AZ97" s="244"/>
      <c r="BA97" s="244"/>
      <c r="BB97" s="244"/>
      <c r="BC97" s="244"/>
      <c r="BD97" s="241">
        <f t="shared" si="136"/>
        <v>0</v>
      </c>
      <c r="BF97" s="244"/>
      <c r="BG97" s="244"/>
      <c r="BH97" s="244"/>
      <c r="BI97" s="244"/>
      <c r="BJ97" s="244"/>
      <c r="BK97" s="244"/>
      <c r="BL97" s="241">
        <f>SUM(BF97:BK97)</f>
        <v>0</v>
      </c>
      <c r="BN97" s="241">
        <f t="shared" si="138"/>
        <v>558450.5480066</v>
      </c>
      <c r="BO97" s="241">
        <f t="shared" si="129"/>
        <v>0</v>
      </c>
      <c r="BP97" s="241">
        <f t="shared" si="129"/>
        <v>0</v>
      </c>
      <c r="BQ97" s="241">
        <f t="shared" si="129"/>
        <v>0</v>
      </c>
      <c r="BR97" s="241">
        <f t="shared" si="129"/>
        <v>0</v>
      </c>
      <c r="BS97" s="241">
        <f t="shared" si="129"/>
        <v>0</v>
      </c>
      <c r="BT97" s="241">
        <f>SUM(BN97:BS97)</f>
        <v>558450.5480066</v>
      </c>
    </row>
    <row r="98" spans="1:72" x14ac:dyDescent="0.25">
      <c r="A98" s="201" t="s">
        <v>235</v>
      </c>
      <c r="B98" s="244">
        <f>(72500+66500)*1.01*1.01*1.01*1.01</f>
        <v>144643.95739</v>
      </c>
      <c r="C98" s="244"/>
      <c r="D98" s="244"/>
      <c r="E98" s="244"/>
      <c r="F98" s="244"/>
      <c r="G98" s="244"/>
      <c r="H98" s="241">
        <f t="shared" si="130"/>
        <v>144643.95739</v>
      </c>
      <c r="J98" s="244">
        <f>(((58960+58700+67825)+(63650+58700))+10000)*1.01*1.01*1.01*1.01</f>
        <v>330740.37551834999</v>
      </c>
      <c r="K98" s="244"/>
      <c r="L98" s="244"/>
      <c r="M98" s="244"/>
      <c r="N98" s="244"/>
      <c r="O98" s="244"/>
      <c r="P98" s="241">
        <f t="shared" si="131"/>
        <v>330740.37551834999</v>
      </c>
      <c r="R98" s="244">
        <f>(70000+56000)*1.01*1.01*1.01*1.01</f>
        <v>131116.10526000001</v>
      </c>
      <c r="S98" s="244"/>
      <c r="T98" s="244"/>
      <c r="U98" s="244"/>
      <c r="V98" s="244"/>
      <c r="W98" s="244"/>
      <c r="X98" s="241">
        <f t="shared" si="132"/>
        <v>131116.10526000001</v>
      </c>
      <c r="Z98" s="244">
        <f>(65976+46350)*1.01*1.01*1.01*1.01</f>
        <v>116886.88602726</v>
      </c>
      <c r="AA98" s="244"/>
      <c r="AB98" s="244"/>
      <c r="AC98" s="244"/>
      <c r="AD98" s="244"/>
      <c r="AE98" s="244"/>
      <c r="AF98" s="241">
        <f t="shared" si="133"/>
        <v>116886.88602726</v>
      </c>
      <c r="AH98" s="244">
        <f>((63000+59000+62500)*1.01*1.01*1.01*1.01)+(23.5*8*200)</f>
        <v>229591.43984500002</v>
      </c>
      <c r="AI98" s="244"/>
      <c r="AJ98" s="244"/>
      <c r="AK98" s="244"/>
      <c r="AL98" s="244"/>
      <c r="AM98" s="244"/>
      <c r="AN98" s="241">
        <f t="shared" si="134"/>
        <v>229591.43984500002</v>
      </c>
      <c r="AP98" s="242">
        <f>(57000*1.01*1.01*1.01*1.01)+(47500*1.01*1.01)</f>
        <v>107769.17856999999</v>
      </c>
      <c r="AQ98" s="244"/>
      <c r="AR98" s="244"/>
      <c r="AS98" s="244"/>
      <c r="AT98" s="244"/>
      <c r="AU98" s="244"/>
      <c r="AV98" s="241">
        <f t="shared" si="135"/>
        <v>107769.17856999999</v>
      </c>
      <c r="AX98" s="244"/>
      <c r="AY98" s="244"/>
      <c r="AZ98" s="244"/>
      <c r="BA98" s="244"/>
      <c r="BB98" s="244"/>
      <c r="BC98" s="244"/>
      <c r="BD98" s="241">
        <f t="shared" si="136"/>
        <v>0</v>
      </c>
      <c r="BF98" s="244">
        <f>(92700+1500+1000)*1.01*1.01*1.01*1.01</f>
        <v>99065.501752000011</v>
      </c>
      <c r="BG98" s="244"/>
      <c r="BH98" s="244"/>
      <c r="BI98" s="244"/>
      <c r="BJ98" s="244"/>
      <c r="BK98" s="244"/>
      <c r="BL98" s="241">
        <f t="shared" si="137"/>
        <v>99065.501752000011</v>
      </c>
      <c r="BN98" s="241">
        <f t="shared" si="138"/>
        <v>1159813.4443626101</v>
      </c>
      <c r="BO98" s="241">
        <f t="shared" si="129"/>
        <v>0</v>
      </c>
      <c r="BP98" s="241">
        <f t="shared" si="129"/>
        <v>0</v>
      </c>
      <c r="BQ98" s="241">
        <f t="shared" si="129"/>
        <v>0</v>
      </c>
      <c r="BR98" s="241">
        <f t="shared" si="129"/>
        <v>0</v>
      </c>
      <c r="BS98" s="241">
        <f t="shared" si="129"/>
        <v>0</v>
      </c>
      <c r="BT98" s="241">
        <f t="shared" ref="BT98:BT103" si="140">SUM(BN98:BS98)</f>
        <v>1159813.4443626101</v>
      </c>
    </row>
    <row r="99" spans="1:72" x14ac:dyDescent="0.25">
      <c r="A99" s="201" t="s">
        <v>236</v>
      </c>
      <c r="B99" s="244">
        <f>(22*8*190)*(B48+B49)</f>
        <v>100320</v>
      </c>
      <c r="C99" s="244"/>
      <c r="D99" s="244"/>
      <c r="E99" s="244"/>
      <c r="F99" s="244"/>
      <c r="G99" s="244"/>
      <c r="H99" s="241">
        <f t="shared" si="130"/>
        <v>100320</v>
      </c>
      <c r="J99" s="244">
        <f>(21.75*8*190)*(J48+J49)</f>
        <v>132240</v>
      </c>
      <c r="K99" s="244"/>
      <c r="L99" s="244"/>
      <c r="M99" s="244"/>
      <c r="N99" s="244"/>
      <c r="O99" s="244"/>
      <c r="P99" s="241">
        <f t="shared" si="131"/>
        <v>132240</v>
      </c>
      <c r="R99" s="244">
        <f>(23*8*190)*(R49+R48)</f>
        <v>69920</v>
      </c>
      <c r="S99" s="244"/>
      <c r="T99" s="244"/>
      <c r="U99" s="244"/>
      <c r="V99" s="244"/>
      <c r="W99" s="244"/>
      <c r="X99" s="241">
        <f t="shared" si="132"/>
        <v>69920</v>
      </c>
      <c r="Z99" s="244">
        <f>(46000*1.01*1.01*1.01*1.01)+(19.5*7.5*185)</f>
        <v>74924.034459999995</v>
      </c>
      <c r="AA99" s="244"/>
      <c r="AB99" s="244"/>
      <c r="AC99" s="244"/>
      <c r="AD99" s="244"/>
      <c r="AE99" s="244"/>
      <c r="AF99" s="241">
        <f t="shared" si="133"/>
        <v>74924.034459999995</v>
      </c>
      <c r="AH99" s="244">
        <f>(22.5*8*190)*(AH49+AH48)</f>
        <v>136800</v>
      </c>
      <c r="AI99" s="244"/>
      <c r="AJ99" s="244"/>
      <c r="AK99" s="244"/>
      <c r="AL99" s="244"/>
      <c r="AM99" s="244"/>
      <c r="AN99" s="241">
        <f t="shared" si="134"/>
        <v>136800</v>
      </c>
      <c r="AP99" s="244">
        <f>((22*8*190)*(AP48+AP49))</f>
        <v>66880</v>
      </c>
      <c r="AQ99" s="244"/>
      <c r="AR99" s="244"/>
      <c r="AS99" s="244"/>
      <c r="AT99" s="244"/>
      <c r="AU99" s="244"/>
      <c r="AV99" s="241">
        <f t="shared" si="135"/>
        <v>66880</v>
      </c>
      <c r="AX99" s="244"/>
      <c r="AY99" s="244"/>
      <c r="AZ99" s="244"/>
      <c r="BA99" s="244"/>
      <c r="BB99" s="244"/>
      <c r="BC99" s="244"/>
      <c r="BD99" s="241">
        <f t="shared" si="136"/>
        <v>0</v>
      </c>
      <c r="BF99" s="244">
        <f>(46500+550)*1.01*1.01*1.01*1.01</f>
        <v>48960.418670500003</v>
      </c>
      <c r="BG99" s="244"/>
      <c r="BH99" s="244"/>
      <c r="BI99" s="244"/>
      <c r="BJ99" s="244"/>
      <c r="BK99" s="244"/>
      <c r="BL99" s="241">
        <f t="shared" si="137"/>
        <v>48960.418670500003</v>
      </c>
      <c r="BN99" s="241">
        <f t="shared" si="138"/>
        <v>630044.45313050004</v>
      </c>
      <c r="BO99" s="241">
        <f t="shared" si="129"/>
        <v>0</v>
      </c>
      <c r="BP99" s="241">
        <f t="shared" si="129"/>
        <v>0</v>
      </c>
      <c r="BQ99" s="241">
        <f t="shared" si="129"/>
        <v>0</v>
      </c>
      <c r="BR99" s="241">
        <f t="shared" si="129"/>
        <v>0</v>
      </c>
      <c r="BS99" s="241">
        <f t="shared" si="129"/>
        <v>0</v>
      </c>
      <c r="BT99" s="241">
        <f t="shared" si="140"/>
        <v>630044.45313050004</v>
      </c>
    </row>
    <row r="100" spans="1:72" x14ac:dyDescent="0.25">
      <c r="A100" s="201" t="s">
        <v>324</v>
      </c>
      <c r="B100" s="244"/>
      <c r="C100" s="244"/>
      <c r="D100" s="244"/>
      <c r="E100" s="244"/>
      <c r="F100" s="244"/>
      <c r="G100" s="244"/>
      <c r="H100" s="241">
        <f t="shared" si="130"/>
        <v>0</v>
      </c>
      <c r="J100" s="244">
        <f>43900*1.01*1.01*1.01*1.01</f>
        <v>45682.516039000002</v>
      </c>
      <c r="K100" s="244"/>
      <c r="L100" s="244"/>
      <c r="M100" s="244"/>
      <c r="N100" s="244"/>
      <c r="O100" s="244"/>
      <c r="P100" s="241">
        <f t="shared" si="131"/>
        <v>45682.516039000002</v>
      </c>
      <c r="R100" s="244">
        <f>27*7.5*215</f>
        <v>43537.5</v>
      </c>
      <c r="S100" s="244"/>
      <c r="T100" s="244"/>
      <c r="U100" s="244"/>
      <c r="V100" s="244"/>
      <c r="W100" s="244"/>
      <c r="X100" s="241">
        <f t="shared" si="132"/>
        <v>43537.5</v>
      </c>
      <c r="Z100" s="244"/>
      <c r="AA100" s="244"/>
      <c r="AB100" s="244"/>
      <c r="AC100" s="244"/>
      <c r="AD100" s="244"/>
      <c r="AE100" s="244"/>
      <c r="AF100" s="241">
        <f t="shared" si="133"/>
        <v>0</v>
      </c>
      <c r="AH100" s="244">
        <f>50500*1.01*1.01*1.01*1.01</f>
        <v>52550.502505000004</v>
      </c>
      <c r="AI100" s="244"/>
      <c r="AJ100" s="244"/>
      <c r="AK100" s="244"/>
      <c r="AL100" s="244"/>
      <c r="AM100" s="244"/>
      <c r="AN100" s="241">
        <f t="shared" si="134"/>
        <v>52550.502505000004</v>
      </c>
      <c r="AP100" s="244"/>
      <c r="AQ100" s="244"/>
      <c r="AR100" s="244"/>
      <c r="AS100" s="244"/>
      <c r="AT100" s="244"/>
      <c r="AU100" s="244"/>
      <c r="AV100" s="241">
        <f t="shared" si="135"/>
        <v>0</v>
      </c>
      <c r="AX100" s="244"/>
      <c r="AY100" s="244"/>
      <c r="AZ100" s="244"/>
      <c r="BA100" s="244"/>
      <c r="BB100" s="244"/>
      <c r="BC100" s="244"/>
      <c r="BD100" s="241">
        <f t="shared" si="136"/>
        <v>0</v>
      </c>
      <c r="BF100" s="244"/>
      <c r="BG100" s="244"/>
      <c r="BH100" s="244"/>
      <c r="BI100" s="244"/>
      <c r="BJ100" s="244"/>
      <c r="BK100" s="244"/>
      <c r="BL100" s="241">
        <f t="shared" si="137"/>
        <v>0</v>
      </c>
      <c r="BN100" s="241">
        <f t="shared" si="138"/>
        <v>141770.51854400002</v>
      </c>
      <c r="BO100" s="241">
        <f t="shared" si="129"/>
        <v>0</v>
      </c>
      <c r="BP100" s="241">
        <f t="shared" si="129"/>
        <v>0</v>
      </c>
      <c r="BQ100" s="241">
        <f t="shared" si="129"/>
        <v>0</v>
      </c>
      <c r="BR100" s="241">
        <f t="shared" si="129"/>
        <v>0</v>
      </c>
      <c r="BS100" s="241">
        <f t="shared" si="129"/>
        <v>0</v>
      </c>
      <c r="BT100" s="241">
        <f t="shared" si="140"/>
        <v>141770.51854400002</v>
      </c>
    </row>
    <row r="101" spans="1:72" x14ac:dyDescent="0.25">
      <c r="A101" s="201" t="s">
        <v>237</v>
      </c>
      <c r="B101" s="244">
        <f>(26*8*240)*B51</f>
        <v>99840</v>
      </c>
      <c r="C101" s="244"/>
      <c r="D101" s="244"/>
      <c r="E101" s="244"/>
      <c r="F101" s="244"/>
      <c r="G101" s="244"/>
      <c r="H101" s="241">
        <f t="shared" si="130"/>
        <v>99840</v>
      </c>
      <c r="J101" s="244">
        <f>((22.75*8*240)*J51-1)+((58700+47000)*1.01*1.01*1.01*1.01)</f>
        <v>459430.843857</v>
      </c>
      <c r="K101" s="244"/>
      <c r="L101" s="244"/>
      <c r="M101" s="244"/>
      <c r="N101" s="244"/>
      <c r="O101" s="244"/>
      <c r="P101" s="241">
        <f t="shared" si="131"/>
        <v>459430.843857</v>
      </c>
      <c r="R101" s="244">
        <f>(23*8*240)*R51</f>
        <v>132480</v>
      </c>
      <c r="S101" s="244"/>
      <c r="T101" s="244"/>
      <c r="U101" s="244"/>
      <c r="V101" s="244"/>
      <c r="W101" s="244"/>
      <c r="X101" s="241">
        <f t="shared" si="132"/>
        <v>132480</v>
      </c>
      <c r="Z101" s="244">
        <f>(24.25*8*240)*Z51</f>
        <v>139680</v>
      </c>
      <c r="AA101" s="244"/>
      <c r="AB101" s="244"/>
      <c r="AC101" s="244"/>
      <c r="AD101" s="244"/>
      <c r="AE101" s="244"/>
      <c r="AF101" s="241">
        <f t="shared" si="133"/>
        <v>139680</v>
      </c>
      <c r="AH101" s="244">
        <f>(22*8*240)*AH51-96</f>
        <v>337824</v>
      </c>
      <c r="AI101" s="244"/>
      <c r="AJ101" s="244"/>
      <c r="AK101" s="244"/>
      <c r="AL101" s="244"/>
      <c r="AM101" s="244"/>
      <c r="AN101" s="241">
        <f t="shared" si="134"/>
        <v>337824</v>
      </c>
      <c r="AP101" s="244">
        <f>(23*8*240)+(50000*1.01*1.01*1.01)</f>
        <v>95675.05</v>
      </c>
      <c r="AQ101" s="244"/>
      <c r="AR101" s="244"/>
      <c r="AS101" s="244"/>
      <c r="AU101" s="244"/>
      <c r="AV101" s="241">
        <f t="shared" si="135"/>
        <v>95675.05</v>
      </c>
      <c r="AX101" s="244"/>
      <c r="AY101" s="244"/>
      <c r="AZ101" s="244"/>
      <c r="BA101" s="244"/>
      <c r="BB101" s="244"/>
      <c r="BC101" s="244"/>
      <c r="BD101" s="241">
        <f t="shared" si="136"/>
        <v>0</v>
      </c>
      <c r="BF101" s="244"/>
      <c r="BG101" s="244"/>
      <c r="BH101" s="244"/>
      <c r="BI101" s="244"/>
      <c r="BJ101" s="244"/>
      <c r="BK101" s="244"/>
      <c r="BL101" s="241">
        <f t="shared" si="137"/>
        <v>0</v>
      </c>
      <c r="BN101" s="241">
        <f t="shared" si="138"/>
        <v>1264929.8938570002</v>
      </c>
      <c r="BO101" s="241">
        <f t="shared" si="129"/>
        <v>0</v>
      </c>
      <c r="BP101" s="241">
        <f t="shared" si="129"/>
        <v>0</v>
      </c>
      <c r="BQ101" s="241">
        <f t="shared" si="129"/>
        <v>0</v>
      </c>
      <c r="BR101" s="241">
        <f t="shared" si="129"/>
        <v>0</v>
      </c>
      <c r="BS101" s="241">
        <f t="shared" si="129"/>
        <v>0</v>
      </c>
      <c r="BT101" s="241">
        <f t="shared" si="140"/>
        <v>1264929.8938570002</v>
      </c>
    </row>
    <row r="102" spans="1:72" x14ac:dyDescent="0.25">
      <c r="A102" s="201" t="s">
        <v>238</v>
      </c>
      <c r="B102" s="244"/>
      <c r="C102" s="244"/>
      <c r="D102" s="244">
        <f>(21*8*180)+(23.75*8*180)</f>
        <v>64440</v>
      </c>
      <c r="E102" s="244"/>
      <c r="F102" s="244"/>
      <c r="G102" s="244"/>
      <c r="H102" s="241">
        <f t="shared" si="130"/>
        <v>64440</v>
      </c>
      <c r="J102" s="244"/>
      <c r="K102" s="244"/>
      <c r="L102" s="244">
        <f>(21.75*6*180*3)+(22.75*8*180*3)</f>
        <v>168750</v>
      </c>
      <c r="M102" s="244"/>
      <c r="N102" s="244"/>
      <c r="O102" s="244"/>
      <c r="P102" s="241">
        <f t="shared" si="131"/>
        <v>168750</v>
      </c>
      <c r="R102" s="244"/>
      <c r="S102" s="244"/>
      <c r="T102" s="244">
        <f>(21*7.5*180)+41200</f>
        <v>69550</v>
      </c>
      <c r="U102" s="244"/>
      <c r="V102" s="244"/>
      <c r="W102" s="244"/>
      <c r="X102" s="241">
        <f t="shared" si="132"/>
        <v>69550</v>
      </c>
      <c r="Z102" s="244"/>
      <c r="AA102" s="244"/>
      <c r="AB102" s="244">
        <f>(20.5*8*180)+(23.75*8*180)</f>
        <v>63720</v>
      </c>
      <c r="AC102" s="244"/>
      <c r="AD102" s="244"/>
      <c r="AE102" s="244"/>
      <c r="AF102" s="241">
        <f t="shared" si="133"/>
        <v>63720</v>
      </c>
      <c r="AH102" s="244"/>
      <c r="AI102" s="244"/>
      <c r="AJ102" s="244">
        <f>(21*6*180*3)+(22*8*180)</f>
        <v>99720</v>
      </c>
      <c r="AK102" s="244"/>
      <c r="AL102" s="244"/>
      <c r="AM102" s="244"/>
      <c r="AN102" s="241">
        <f t="shared" si="134"/>
        <v>99720</v>
      </c>
      <c r="AP102" s="244"/>
      <c r="AQ102" s="244"/>
      <c r="AR102" s="244">
        <f>(21*8*180)</f>
        <v>30240</v>
      </c>
      <c r="AS102" s="244"/>
      <c r="AT102" s="244"/>
      <c r="AU102" s="244"/>
      <c r="AV102" s="241">
        <f t="shared" si="135"/>
        <v>30240</v>
      </c>
      <c r="AX102" s="244"/>
      <c r="AY102" s="244"/>
      <c r="AZ102" s="244"/>
      <c r="BA102" s="244"/>
      <c r="BB102" s="244"/>
      <c r="BC102" s="244"/>
      <c r="BD102" s="241">
        <f t="shared" si="136"/>
        <v>0</v>
      </c>
      <c r="BF102" s="244"/>
      <c r="BG102" s="244"/>
      <c r="BH102" s="244">
        <f>(28*5*190)</f>
        <v>26600</v>
      </c>
      <c r="BI102" s="244"/>
      <c r="BJ102" s="244"/>
      <c r="BK102" s="244"/>
      <c r="BL102" s="241">
        <f t="shared" si="137"/>
        <v>26600</v>
      </c>
      <c r="BN102" s="241">
        <f t="shared" si="138"/>
        <v>0</v>
      </c>
      <c r="BO102" s="241">
        <f t="shared" si="129"/>
        <v>0</v>
      </c>
      <c r="BP102" s="241">
        <f t="shared" si="129"/>
        <v>523020</v>
      </c>
      <c r="BQ102" s="241">
        <f t="shared" si="129"/>
        <v>0</v>
      </c>
      <c r="BR102" s="241">
        <f t="shared" si="129"/>
        <v>0</v>
      </c>
      <c r="BS102" s="241">
        <f t="shared" si="129"/>
        <v>0</v>
      </c>
      <c r="BT102" s="241">
        <f t="shared" si="140"/>
        <v>523020</v>
      </c>
    </row>
    <row r="103" spans="1:72" x14ac:dyDescent="0.25">
      <c r="A103" s="201" t="s">
        <v>239</v>
      </c>
      <c r="B103" s="244"/>
      <c r="C103" s="244"/>
      <c r="D103" s="244"/>
      <c r="E103" s="244"/>
      <c r="F103" s="244"/>
      <c r="G103" s="244"/>
      <c r="H103" s="241">
        <f t="shared" si="130"/>
        <v>0</v>
      </c>
      <c r="J103" s="244"/>
      <c r="K103" s="244"/>
      <c r="L103" s="244"/>
      <c r="M103" s="244"/>
      <c r="N103" s="244"/>
      <c r="O103" s="244"/>
      <c r="P103" s="241">
        <f t="shared" si="131"/>
        <v>0</v>
      </c>
      <c r="R103" s="244"/>
      <c r="S103" s="244"/>
      <c r="T103" s="244"/>
      <c r="U103" s="244"/>
      <c r="V103" s="244"/>
      <c r="W103" s="244"/>
      <c r="X103" s="241">
        <f t="shared" si="132"/>
        <v>0</v>
      </c>
      <c r="Z103" s="244"/>
      <c r="AA103" s="244">
        <f>25750*1.01*1.01*1.01*1.01</f>
        <v>26795.5532575</v>
      </c>
      <c r="AB103" s="244"/>
      <c r="AC103" s="244"/>
      <c r="AD103" s="244"/>
      <c r="AE103" s="244"/>
      <c r="AF103" s="241">
        <f t="shared" si="133"/>
        <v>26795.5532575</v>
      </c>
      <c r="AH103" s="244">
        <f>49440*1.02*1.01*1.01</f>
        <v>51442.418880000005</v>
      </c>
      <c r="AI103" s="244"/>
      <c r="AJ103" s="244"/>
      <c r="AK103" s="244"/>
      <c r="AL103" s="244"/>
      <c r="AM103" s="244"/>
      <c r="AN103" s="241">
        <f t="shared" si="134"/>
        <v>51442.418880000005</v>
      </c>
      <c r="AP103" s="244"/>
      <c r="AQ103" s="244"/>
      <c r="AR103" s="244"/>
      <c r="AS103" s="244"/>
      <c r="AT103" s="244"/>
      <c r="AU103" s="244"/>
      <c r="AV103" s="241">
        <f t="shared" si="135"/>
        <v>0</v>
      </c>
      <c r="AX103" s="244"/>
      <c r="AY103" s="244"/>
      <c r="AZ103" s="244"/>
      <c r="BA103" s="244"/>
      <c r="BB103" s="244"/>
      <c r="BC103" s="244"/>
      <c r="BD103" s="241">
        <f t="shared" si="136"/>
        <v>0</v>
      </c>
      <c r="BF103" s="244"/>
      <c r="BG103" s="244"/>
      <c r="BH103" s="244"/>
      <c r="BI103" s="244"/>
      <c r="BJ103" s="244"/>
      <c r="BK103" s="244"/>
      <c r="BL103" s="241">
        <f t="shared" si="137"/>
        <v>0</v>
      </c>
      <c r="BN103" s="241">
        <f t="shared" si="138"/>
        <v>51442.418880000005</v>
      </c>
      <c r="BO103" s="241">
        <f t="shared" si="129"/>
        <v>26795.5532575</v>
      </c>
      <c r="BP103" s="241">
        <f t="shared" si="129"/>
        <v>0</v>
      </c>
      <c r="BQ103" s="241">
        <f t="shared" si="129"/>
        <v>0</v>
      </c>
      <c r="BR103" s="241">
        <f t="shared" si="129"/>
        <v>0</v>
      </c>
      <c r="BS103" s="241">
        <f t="shared" si="129"/>
        <v>0</v>
      </c>
      <c r="BT103" s="241">
        <f t="shared" si="140"/>
        <v>78237.972137500008</v>
      </c>
    </row>
    <row r="104" spans="1:72" x14ac:dyDescent="0.25">
      <c r="A104" s="201" t="s">
        <v>204</v>
      </c>
      <c r="B104" s="244"/>
      <c r="C104" s="244">
        <f>79250*1.01*1.01*1.01*1.01</f>
        <v>82467.867792500008</v>
      </c>
      <c r="D104" s="244"/>
      <c r="E104" s="244"/>
      <c r="F104" s="244"/>
      <c r="G104" s="244"/>
      <c r="H104" s="241">
        <f>SUM(B104:G104)</f>
        <v>82467.867792500008</v>
      </c>
      <c r="J104" s="242"/>
      <c r="K104" s="242">
        <f>92700*1.01*1.01*1.01*1.01</f>
        <v>96463.991727000001</v>
      </c>
      <c r="L104" s="244"/>
      <c r="M104" s="244"/>
      <c r="N104" s="244"/>
      <c r="O104" s="244"/>
      <c r="P104" s="241">
        <f>SUM(J104:O104)</f>
        <v>96463.991727000001</v>
      </c>
      <c r="R104" s="242"/>
      <c r="S104" s="242">
        <f>84400*1.01*1.01*1.01*1.01</f>
        <v>87826.978443999993</v>
      </c>
      <c r="T104" s="244"/>
      <c r="U104" s="244"/>
      <c r="V104" s="244"/>
      <c r="W104" s="244"/>
      <c r="X104" s="241">
        <f>SUM(R104:W104)</f>
        <v>87826.978443999993</v>
      </c>
      <c r="Z104" s="242"/>
      <c r="AA104" s="242">
        <f>59225*1.01*1.01*1.01*1.01</f>
        <v>61629.772492249998</v>
      </c>
      <c r="AB104" s="244"/>
      <c r="AC104" s="244"/>
      <c r="AD104" s="244"/>
      <c r="AE104" s="244"/>
      <c r="AF104" s="241">
        <f>SUM(Z104:AE104)</f>
        <v>61629.772492249998</v>
      </c>
      <c r="AH104" s="242"/>
      <c r="AI104" s="242"/>
      <c r="AJ104" s="244"/>
      <c r="AK104" s="244"/>
      <c r="AL104" s="244"/>
      <c r="AM104" s="244"/>
      <c r="AN104" s="241">
        <f>SUM(AH104:AM104)</f>
        <v>0</v>
      </c>
      <c r="AP104" s="242"/>
      <c r="AQ104" s="242">
        <f>75000*1.01*1.01*1.01*1.01</f>
        <v>78045.300749999995</v>
      </c>
      <c r="AR104" s="244"/>
      <c r="AS104" s="244"/>
      <c r="AT104" s="244"/>
      <c r="AU104" s="244"/>
      <c r="AV104" s="241">
        <f>SUM(AP104:AU104)</f>
        <v>78045.300749999995</v>
      </c>
      <c r="AX104" s="242"/>
      <c r="AY104" s="242"/>
      <c r="AZ104" s="244"/>
      <c r="BA104" s="244"/>
      <c r="BB104" s="244"/>
      <c r="BC104" s="244"/>
      <c r="BD104" s="241">
        <f>SUM(AX104:BC104)</f>
        <v>0</v>
      </c>
      <c r="BF104" s="244"/>
      <c r="BG104" s="244"/>
      <c r="BH104" s="244"/>
      <c r="BI104" s="244"/>
      <c r="BJ104" s="244"/>
      <c r="BK104" s="244"/>
      <c r="BL104" s="241">
        <f>SUM(BF104:BK104)</f>
        <v>0</v>
      </c>
      <c r="BN104" s="241">
        <f t="shared" si="138"/>
        <v>0</v>
      </c>
      <c r="BO104" s="241">
        <f t="shared" si="129"/>
        <v>406433.91120575002</v>
      </c>
      <c r="BP104" s="241">
        <f t="shared" si="129"/>
        <v>0</v>
      </c>
      <c r="BQ104" s="241">
        <f t="shared" si="129"/>
        <v>0</v>
      </c>
      <c r="BR104" s="241">
        <f t="shared" si="129"/>
        <v>0</v>
      </c>
      <c r="BS104" s="241">
        <f t="shared" si="129"/>
        <v>0</v>
      </c>
      <c r="BT104" s="241">
        <f>SUM(BN104:BS104)</f>
        <v>406433.91120575002</v>
      </c>
    </row>
    <row r="105" spans="1:72" x14ac:dyDescent="0.25">
      <c r="A105" s="201" t="s">
        <v>240</v>
      </c>
      <c r="B105" s="244"/>
      <c r="C105" s="244"/>
      <c r="D105" s="244"/>
      <c r="E105" s="244"/>
      <c r="F105" s="244"/>
      <c r="G105" s="244"/>
      <c r="H105" s="241">
        <f>SUM(B105:G105)</f>
        <v>0</v>
      </c>
      <c r="J105" s="244"/>
      <c r="K105" s="244">
        <f>63860*1.01*1.01*1.01*1.01</f>
        <v>66452.972078599996</v>
      </c>
      <c r="L105" s="244"/>
      <c r="M105" s="244"/>
      <c r="N105" s="244"/>
      <c r="O105" s="244"/>
      <c r="P105" s="241">
        <f>SUM(J105:O105)</f>
        <v>66452.972078599996</v>
      </c>
      <c r="R105" s="244"/>
      <c r="S105" s="244"/>
      <c r="T105" s="244"/>
      <c r="U105" s="244"/>
      <c r="V105" s="244"/>
      <c r="W105" s="244"/>
      <c r="X105" s="241">
        <f>SUM(R105:W105)</f>
        <v>0</v>
      </c>
      <c r="Z105" s="242"/>
      <c r="AA105" s="244">
        <f>54848*1.01*1.01*1.01*1.01</f>
        <v>57075.048740480008</v>
      </c>
      <c r="AB105" s="244"/>
      <c r="AC105" s="244"/>
      <c r="AD105" s="244"/>
      <c r="AE105" s="244"/>
      <c r="AF105" s="241">
        <f>SUM(Z105:AE105)</f>
        <v>57075.048740480008</v>
      </c>
      <c r="AH105" s="242">
        <v>0</v>
      </c>
      <c r="AI105" s="244"/>
      <c r="AJ105" s="244"/>
      <c r="AK105" s="244"/>
      <c r="AL105" s="244"/>
      <c r="AM105" s="244"/>
      <c r="AN105" s="241">
        <f>SUM(AH105:AM105)</f>
        <v>0</v>
      </c>
      <c r="AP105" s="244"/>
      <c r="AQ105" s="244"/>
      <c r="AR105" s="244"/>
      <c r="AS105" s="244"/>
      <c r="AT105" s="244"/>
      <c r="AU105" s="244"/>
      <c r="AV105" s="241">
        <f>SUM(AP105:AU105)</f>
        <v>0</v>
      </c>
      <c r="AX105" s="244"/>
      <c r="AY105" s="244"/>
      <c r="AZ105" s="244"/>
      <c r="BA105" s="244"/>
      <c r="BB105" s="244"/>
      <c r="BC105" s="244"/>
      <c r="BD105" s="241">
        <f>SUM(AX105:BC105)</f>
        <v>0</v>
      </c>
      <c r="BF105" s="244"/>
      <c r="BG105" s="244"/>
      <c r="BH105" s="244"/>
      <c r="BI105" s="244"/>
      <c r="BJ105" s="244"/>
      <c r="BK105" s="244"/>
      <c r="BL105" s="241">
        <f>SUM(BF105:BK105)</f>
        <v>0</v>
      </c>
      <c r="BN105" s="241">
        <f t="shared" si="138"/>
        <v>0</v>
      </c>
      <c r="BO105" s="241">
        <f t="shared" si="129"/>
        <v>123528.02081908</v>
      </c>
      <c r="BP105" s="241">
        <f t="shared" si="129"/>
        <v>0</v>
      </c>
      <c r="BQ105" s="241">
        <f t="shared" si="129"/>
        <v>0</v>
      </c>
      <c r="BR105" s="241">
        <f t="shared" si="129"/>
        <v>0</v>
      </c>
      <c r="BS105" s="241">
        <f t="shared" si="129"/>
        <v>0</v>
      </c>
      <c r="BT105" s="241">
        <f>SUM(BN105:BS105)</f>
        <v>123528.02081908</v>
      </c>
    </row>
    <row r="106" spans="1:72" x14ac:dyDescent="0.25">
      <c r="A106" s="201" t="s">
        <v>241</v>
      </c>
      <c r="B106" s="244"/>
      <c r="C106" s="244"/>
      <c r="D106" s="244"/>
      <c r="E106" s="244"/>
      <c r="F106" s="244"/>
      <c r="G106" s="244"/>
      <c r="H106" s="241">
        <f>SUM(B106:G106)</f>
        <v>0</v>
      </c>
      <c r="J106" s="244"/>
      <c r="K106" s="244">
        <f>98880*1.01*1.01*1.01*1.01</f>
        <v>102894.9245088</v>
      </c>
      <c r="L106" s="244"/>
      <c r="M106" s="244"/>
      <c r="N106" s="244"/>
      <c r="O106" s="244"/>
      <c r="P106" s="241">
        <f>SUM(J106:O106)</f>
        <v>102894.9245088</v>
      </c>
      <c r="R106" s="244"/>
      <c r="S106" s="244">
        <f>46063*1.01*1.01*1.01*1.01</f>
        <v>47933.342512629992</v>
      </c>
      <c r="T106" s="244"/>
      <c r="U106" s="244"/>
      <c r="V106" s="244"/>
      <c r="W106" s="244"/>
      <c r="X106" s="241">
        <f>SUM(R106:W106)</f>
        <v>47933.342512629992</v>
      </c>
      <c r="Z106" s="244"/>
      <c r="AA106" s="244">
        <f>45063*1.01*1.01*1.01*1.01</f>
        <v>46892.738502629996</v>
      </c>
      <c r="AB106" s="244"/>
      <c r="AC106" s="244"/>
      <c r="AD106" s="244"/>
      <c r="AE106" s="244"/>
      <c r="AF106" s="241">
        <f>SUM(Z106:AE106)</f>
        <v>46892.738502629996</v>
      </c>
      <c r="AH106" s="244"/>
      <c r="AI106" s="244">
        <f>94700*1.01*1.01*1.01*1.01</f>
        <v>98545.199747000006</v>
      </c>
      <c r="AJ106" s="244"/>
      <c r="AK106" s="244"/>
      <c r="AL106" s="244"/>
      <c r="AM106" s="244"/>
      <c r="AN106" s="241">
        <f>SUM(AH106:AM106)</f>
        <v>98545.199747000006</v>
      </c>
      <c r="AP106" s="244"/>
      <c r="AQ106" s="244"/>
      <c r="AR106" s="244"/>
      <c r="AS106" s="244"/>
      <c r="AT106" s="244"/>
      <c r="AU106" s="244"/>
      <c r="AV106" s="241">
        <f>SUM(AP106:AU106)</f>
        <v>0</v>
      </c>
      <c r="AX106" s="244"/>
      <c r="AY106" s="244"/>
      <c r="AZ106" s="244"/>
      <c r="BA106" s="244"/>
      <c r="BB106" s="244"/>
      <c r="BC106" s="244"/>
      <c r="BD106" s="241">
        <f>SUM(AX106:BC106)</f>
        <v>0</v>
      </c>
      <c r="BF106" s="244"/>
      <c r="BG106" s="244"/>
      <c r="BH106" s="244"/>
      <c r="BI106" s="244"/>
      <c r="BJ106" s="244"/>
      <c r="BK106" s="244"/>
      <c r="BL106" s="241">
        <f>SUM(BF106:BK106)</f>
        <v>0</v>
      </c>
      <c r="BN106" s="241">
        <f t="shared" si="138"/>
        <v>0</v>
      </c>
      <c r="BO106" s="241">
        <f t="shared" si="129"/>
        <v>296266.20527106</v>
      </c>
      <c r="BP106" s="241">
        <f t="shared" si="129"/>
        <v>0</v>
      </c>
      <c r="BQ106" s="241">
        <f t="shared" si="129"/>
        <v>0</v>
      </c>
      <c r="BR106" s="241">
        <f t="shared" si="129"/>
        <v>0</v>
      </c>
      <c r="BS106" s="241">
        <f t="shared" si="129"/>
        <v>0</v>
      </c>
      <c r="BT106" s="241">
        <f>SUM(BN106:BS106)</f>
        <v>296266.20527106</v>
      </c>
    </row>
    <row r="107" spans="1:72" x14ac:dyDescent="0.25">
      <c r="A107" s="201" t="s">
        <v>208</v>
      </c>
      <c r="B107" s="244"/>
      <c r="C107" s="244"/>
      <c r="D107" s="244"/>
      <c r="E107" s="244"/>
      <c r="F107" s="244"/>
      <c r="G107" s="244"/>
      <c r="H107" s="241">
        <f t="shared" si="130"/>
        <v>0</v>
      </c>
      <c r="J107" s="244">
        <f>75396*1.01*1.01*1.01*1.01</f>
        <v>78457.379937959995</v>
      </c>
      <c r="K107" s="244"/>
      <c r="L107" s="244"/>
      <c r="M107" s="244"/>
      <c r="N107" s="244"/>
      <c r="O107" s="244"/>
      <c r="P107" s="241">
        <f t="shared" si="131"/>
        <v>78457.379937959995</v>
      </c>
      <c r="R107" s="244">
        <f>33960*1.01*1.01*1.01*1.01</f>
        <v>35338.912179599996</v>
      </c>
      <c r="S107" s="244"/>
      <c r="T107" s="244"/>
      <c r="U107" s="244"/>
      <c r="V107" s="244"/>
      <c r="W107" s="244"/>
      <c r="X107" s="241">
        <f t="shared" si="132"/>
        <v>35338.912179599996</v>
      </c>
      <c r="Z107" s="244">
        <f>32960*1.01*1.01*1.01*1.01</f>
        <v>34298.308169600001</v>
      </c>
      <c r="AA107" s="244"/>
      <c r="AB107" s="244"/>
      <c r="AC107" s="244"/>
      <c r="AD107" s="244"/>
      <c r="AE107" s="244"/>
      <c r="AF107" s="241">
        <f t="shared" si="133"/>
        <v>34298.308169600001</v>
      </c>
      <c r="AH107" s="244">
        <f>78000*1.01*1.01*1.01*1.01</f>
        <v>81167.11278000001</v>
      </c>
      <c r="AI107" s="244"/>
      <c r="AJ107" s="244"/>
      <c r="AK107" s="244"/>
      <c r="AL107" s="244"/>
      <c r="AM107" s="244"/>
      <c r="AN107" s="241">
        <f t="shared" si="134"/>
        <v>81167.11278000001</v>
      </c>
      <c r="AP107" s="244"/>
      <c r="AQ107" s="244"/>
      <c r="AR107" s="244"/>
      <c r="AS107" s="244"/>
      <c r="AT107" s="244"/>
      <c r="AU107" s="244"/>
      <c r="AV107" s="241">
        <f t="shared" si="135"/>
        <v>0</v>
      </c>
      <c r="AX107" s="244"/>
      <c r="AY107" s="244"/>
      <c r="AZ107" s="244"/>
      <c r="BA107" s="244"/>
      <c r="BB107" s="244"/>
      <c r="BC107" s="244"/>
      <c r="BD107" s="241">
        <f t="shared" si="136"/>
        <v>0</v>
      </c>
      <c r="BF107" s="244"/>
      <c r="BG107" s="244"/>
      <c r="BH107" s="244"/>
      <c r="BI107" s="244"/>
      <c r="BJ107" s="244"/>
      <c r="BK107" s="244"/>
      <c r="BL107" s="241">
        <f t="shared" si="137"/>
        <v>0</v>
      </c>
      <c r="BN107" s="241">
        <f t="shared" si="138"/>
        <v>229261.71306715999</v>
      </c>
      <c r="BO107" s="241">
        <f t="shared" si="129"/>
        <v>0</v>
      </c>
      <c r="BP107" s="241">
        <f t="shared" si="129"/>
        <v>0</v>
      </c>
      <c r="BQ107" s="241">
        <f t="shared" si="129"/>
        <v>0</v>
      </c>
      <c r="BR107" s="241">
        <f t="shared" si="129"/>
        <v>0</v>
      </c>
      <c r="BS107" s="241">
        <f t="shared" si="129"/>
        <v>0</v>
      </c>
      <c r="BT107" s="241">
        <f t="shared" ref="BT107:BT108" si="141">SUM(BN107:BS107)</f>
        <v>229261.71306715999</v>
      </c>
    </row>
    <row r="108" spans="1:72" x14ac:dyDescent="0.25">
      <c r="A108" s="202" t="s">
        <v>242</v>
      </c>
      <c r="B108" s="245">
        <f>31000*1.01*1.01*1.01*1.01</f>
        <v>32258.724309999998</v>
      </c>
      <c r="C108" s="245"/>
      <c r="D108" s="245"/>
      <c r="E108" s="245"/>
      <c r="F108" s="245"/>
      <c r="G108" s="245"/>
      <c r="H108" s="241">
        <f t="shared" si="130"/>
        <v>32258.724309999998</v>
      </c>
      <c r="J108" s="245">
        <f>56650*1.01*1.01*1.01*1.01</f>
        <v>58950.217166499999</v>
      </c>
      <c r="K108" s="245"/>
      <c r="L108" s="245"/>
      <c r="M108" s="245"/>
      <c r="N108" s="245"/>
      <c r="O108" s="245"/>
      <c r="P108" s="241">
        <f t="shared" si="131"/>
        <v>58950.217166499999</v>
      </c>
      <c r="R108" s="245"/>
      <c r="S108" s="245"/>
      <c r="T108" s="245"/>
      <c r="U108" s="245"/>
      <c r="V108" s="245"/>
      <c r="W108" s="245"/>
      <c r="X108" s="241">
        <f t="shared" si="132"/>
        <v>0</v>
      </c>
      <c r="Z108" s="245">
        <f>61800*1.01*1.01*1.01*1.01</f>
        <v>64309.327818000005</v>
      </c>
      <c r="AA108" s="245"/>
      <c r="AB108" s="245"/>
      <c r="AC108" s="245"/>
      <c r="AD108" s="245"/>
      <c r="AE108" s="245"/>
      <c r="AF108" s="241">
        <f t="shared" si="133"/>
        <v>64309.327818000005</v>
      </c>
      <c r="AH108" s="245">
        <f>(63000)*1.01*1.01*1.01*1.01</f>
        <v>65558.052630000006</v>
      </c>
      <c r="AI108" s="245"/>
      <c r="AJ108" s="245"/>
      <c r="AK108" s="245"/>
      <c r="AL108" s="245"/>
      <c r="AM108" s="245"/>
      <c r="AN108" s="241">
        <f t="shared" si="134"/>
        <v>65558.052630000006</v>
      </c>
      <c r="AP108" s="245"/>
      <c r="AQ108" s="245"/>
      <c r="AR108" s="245"/>
      <c r="AS108" s="245"/>
      <c r="AT108" s="245"/>
      <c r="AU108" s="245"/>
      <c r="AV108" s="241">
        <f t="shared" si="135"/>
        <v>0</v>
      </c>
      <c r="AX108" s="245"/>
      <c r="AY108" s="245"/>
      <c r="AZ108" s="245"/>
      <c r="BA108" s="245"/>
      <c r="BB108" s="245"/>
      <c r="BC108" s="245"/>
      <c r="BD108" s="241">
        <f t="shared" si="136"/>
        <v>0</v>
      </c>
      <c r="BF108" s="245"/>
      <c r="BG108" s="245"/>
      <c r="BH108" s="245"/>
      <c r="BI108" s="245"/>
      <c r="BJ108" s="245"/>
      <c r="BK108" s="245"/>
      <c r="BL108" s="241">
        <f t="shared" si="137"/>
        <v>0</v>
      </c>
      <c r="BN108" s="241">
        <f t="shared" si="138"/>
        <v>221076.32192449999</v>
      </c>
      <c r="BO108" s="241">
        <f t="shared" si="129"/>
        <v>0</v>
      </c>
      <c r="BP108" s="241">
        <f t="shared" si="129"/>
        <v>0</v>
      </c>
      <c r="BQ108" s="241">
        <f t="shared" si="129"/>
        <v>0</v>
      </c>
      <c r="BR108" s="241">
        <f t="shared" si="129"/>
        <v>0</v>
      </c>
      <c r="BS108" s="241">
        <f t="shared" si="129"/>
        <v>0</v>
      </c>
      <c r="BT108" s="241">
        <f t="shared" si="141"/>
        <v>221076.32192449999</v>
      </c>
    </row>
    <row r="109" spans="1:72" x14ac:dyDescent="0.25">
      <c r="A109" s="207" t="s">
        <v>329</v>
      </c>
      <c r="B109" s="258">
        <f t="shared" ref="B109:H109" si="142">SUM(B93:B108)</f>
        <v>771887.08601325436</v>
      </c>
      <c r="C109" s="258">
        <f t="shared" si="142"/>
        <v>178203.4367125</v>
      </c>
      <c r="D109" s="258">
        <f t="shared" si="142"/>
        <v>64440</v>
      </c>
      <c r="E109" s="258">
        <f t="shared" si="142"/>
        <v>0</v>
      </c>
      <c r="F109" s="258">
        <f t="shared" si="142"/>
        <v>0</v>
      </c>
      <c r="G109" s="258">
        <f t="shared" si="142"/>
        <v>0</v>
      </c>
      <c r="H109" s="258">
        <f t="shared" si="142"/>
        <v>1014530.5227257544</v>
      </c>
      <c r="J109" s="258">
        <f t="shared" ref="J109:P109" si="143">SUM(J93:J108)</f>
        <v>2765319.4716287842</v>
      </c>
      <c r="K109" s="258">
        <f t="shared" si="143"/>
        <v>265811.88831439998</v>
      </c>
      <c r="L109" s="258">
        <f t="shared" si="143"/>
        <v>168750</v>
      </c>
      <c r="M109" s="258">
        <f t="shared" si="143"/>
        <v>0</v>
      </c>
      <c r="N109" s="258">
        <f t="shared" si="143"/>
        <v>0</v>
      </c>
      <c r="O109" s="258">
        <f t="shared" si="143"/>
        <v>0</v>
      </c>
      <c r="P109" s="258">
        <f t="shared" si="143"/>
        <v>3199881.3599431841</v>
      </c>
      <c r="R109" s="258">
        <f t="shared" ref="R109:X109" si="144">SUM(R93:R108)</f>
        <v>1006432.5013119552</v>
      </c>
      <c r="S109" s="258">
        <f t="shared" si="144"/>
        <v>135760.32095662999</v>
      </c>
      <c r="T109" s="258">
        <f t="shared" si="144"/>
        <v>69550</v>
      </c>
      <c r="U109" s="258">
        <f t="shared" si="144"/>
        <v>0</v>
      </c>
      <c r="V109" s="258">
        <f t="shared" si="144"/>
        <v>0</v>
      </c>
      <c r="W109" s="258">
        <f t="shared" si="144"/>
        <v>0</v>
      </c>
      <c r="X109" s="258">
        <f t="shared" si="144"/>
        <v>1211742.822268585</v>
      </c>
      <c r="Z109" s="258">
        <f t="shared" ref="Z109:AF109" si="145">SUM(Z93:Z108)</f>
        <v>980408.35503596952</v>
      </c>
      <c r="AA109" s="258">
        <f t="shared" si="145"/>
        <v>192393.11299286</v>
      </c>
      <c r="AB109" s="258">
        <f t="shared" si="145"/>
        <v>63720</v>
      </c>
      <c r="AC109" s="258">
        <f t="shared" si="145"/>
        <v>0</v>
      </c>
      <c r="AD109" s="258">
        <f t="shared" si="145"/>
        <v>0</v>
      </c>
      <c r="AE109" s="258">
        <f t="shared" si="145"/>
        <v>0</v>
      </c>
      <c r="AF109" s="258">
        <f t="shared" si="145"/>
        <v>1236521.4680288297</v>
      </c>
      <c r="AH109" s="258">
        <f t="shared" ref="AH109:AN109" si="146">SUM(AH93:AH108)</f>
        <v>2178187.9110283195</v>
      </c>
      <c r="AI109" s="258">
        <f t="shared" si="146"/>
        <v>98545.199747000006</v>
      </c>
      <c r="AJ109" s="258">
        <f t="shared" si="146"/>
        <v>99720</v>
      </c>
      <c r="AK109" s="258">
        <f t="shared" si="146"/>
        <v>0</v>
      </c>
      <c r="AL109" s="258">
        <f t="shared" si="146"/>
        <v>0</v>
      </c>
      <c r="AM109" s="258">
        <f t="shared" si="146"/>
        <v>0</v>
      </c>
      <c r="AN109" s="258">
        <f t="shared" si="146"/>
        <v>2376453.1107753194</v>
      </c>
      <c r="AP109" s="258">
        <f t="shared" ref="AP109:AV109" si="147">SUM(AP93:AP108)</f>
        <v>603339.38097000006</v>
      </c>
      <c r="AQ109" s="258">
        <f t="shared" si="147"/>
        <v>78045.300749999995</v>
      </c>
      <c r="AR109" s="258">
        <f t="shared" si="147"/>
        <v>30240</v>
      </c>
      <c r="AS109" s="258">
        <f t="shared" si="147"/>
        <v>0</v>
      </c>
      <c r="AT109" s="258">
        <f t="shared" si="147"/>
        <v>0</v>
      </c>
      <c r="AU109" s="258">
        <f t="shared" si="147"/>
        <v>0</v>
      </c>
      <c r="AV109" s="258">
        <f t="shared" si="147"/>
        <v>711624.68171999999</v>
      </c>
      <c r="AX109" s="258">
        <f t="shared" ref="AX109:BD109" si="148">SUM(AX93:AX108)</f>
        <v>0</v>
      </c>
      <c r="AY109" s="258">
        <f t="shared" si="148"/>
        <v>0</v>
      </c>
      <c r="AZ109" s="258">
        <f t="shared" si="148"/>
        <v>0</v>
      </c>
      <c r="BA109" s="258">
        <f t="shared" si="148"/>
        <v>0</v>
      </c>
      <c r="BB109" s="258">
        <f t="shared" si="148"/>
        <v>0</v>
      </c>
      <c r="BC109" s="258">
        <f t="shared" si="148"/>
        <v>0</v>
      </c>
      <c r="BD109" s="258">
        <f t="shared" si="148"/>
        <v>0</v>
      </c>
      <c r="BF109" s="258">
        <f t="shared" ref="BF109:BL109" si="149">SUM(BF93:BF108)</f>
        <v>247091.42217450001</v>
      </c>
      <c r="BG109" s="258">
        <f t="shared" si="149"/>
        <v>0</v>
      </c>
      <c r="BH109" s="258">
        <f t="shared" si="149"/>
        <v>26600</v>
      </c>
      <c r="BI109" s="258">
        <f t="shared" si="149"/>
        <v>0</v>
      </c>
      <c r="BJ109" s="258">
        <f t="shared" si="149"/>
        <v>0</v>
      </c>
      <c r="BK109" s="258">
        <f t="shared" si="149"/>
        <v>0</v>
      </c>
      <c r="BL109" s="258">
        <f t="shared" si="149"/>
        <v>273691.42217450001</v>
      </c>
      <c r="BN109" s="258">
        <f t="shared" ref="BN109:BT109" si="150">SUM(BN93:BN108)</f>
        <v>8552666.1281627845</v>
      </c>
      <c r="BO109" s="258">
        <f t="shared" si="150"/>
        <v>948759.25947339006</v>
      </c>
      <c r="BP109" s="258">
        <f t="shared" si="150"/>
        <v>523020</v>
      </c>
      <c r="BQ109" s="258">
        <f t="shared" si="150"/>
        <v>0</v>
      </c>
      <c r="BR109" s="258">
        <f t="shared" si="150"/>
        <v>0</v>
      </c>
      <c r="BS109" s="258">
        <f t="shared" si="150"/>
        <v>0</v>
      </c>
      <c r="BT109" s="258">
        <f t="shared" si="150"/>
        <v>10024445.387636174</v>
      </c>
    </row>
    <row r="110" spans="1:72" x14ac:dyDescent="0.25">
      <c r="A110" s="200" t="s">
        <v>373</v>
      </c>
      <c r="B110" s="257">
        <f>B109*0.3875</f>
        <v>299106.24583013606</v>
      </c>
      <c r="C110" s="257">
        <f t="shared" ref="C110:G110" si="151">C109*0.3875</f>
        <v>69053.831726093747</v>
      </c>
      <c r="D110" s="257">
        <f t="shared" si="151"/>
        <v>24970.5</v>
      </c>
      <c r="E110" s="257">
        <f t="shared" si="151"/>
        <v>0</v>
      </c>
      <c r="F110" s="257">
        <f t="shared" si="151"/>
        <v>0</v>
      </c>
      <c r="G110" s="257">
        <f t="shared" si="151"/>
        <v>0</v>
      </c>
      <c r="H110" s="241">
        <f t="shared" si="130"/>
        <v>393130.57755622978</v>
      </c>
      <c r="J110" s="257">
        <f>J109*0.3875</f>
        <v>1071561.2952561539</v>
      </c>
      <c r="K110" s="257">
        <f t="shared" ref="K110:O110" si="152">K109*0.3875</f>
        <v>103002.10672183</v>
      </c>
      <c r="L110" s="257">
        <f t="shared" si="152"/>
        <v>65390.625</v>
      </c>
      <c r="M110" s="257">
        <f t="shared" si="152"/>
        <v>0</v>
      </c>
      <c r="N110" s="257">
        <f t="shared" si="152"/>
        <v>0</v>
      </c>
      <c r="O110" s="257">
        <f t="shared" si="152"/>
        <v>0</v>
      </c>
      <c r="P110" s="241">
        <f t="shared" si="131"/>
        <v>1239954.026977984</v>
      </c>
      <c r="R110" s="257">
        <f>R109*0.3875</f>
        <v>389992.59425838263</v>
      </c>
      <c r="S110" s="257">
        <f t="shared" ref="S110:W110" si="153">S109*0.3875</f>
        <v>52607.124370694124</v>
      </c>
      <c r="T110" s="257">
        <f t="shared" si="153"/>
        <v>26950.625</v>
      </c>
      <c r="U110" s="257">
        <f t="shared" si="153"/>
        <v>0</v>
      </c>
      <c r="V110" s="257">
        <f t="shared" si="153"/>
        <v>0</v>
      </c>
      <c r="W110" s="257">
        <f t="shared" si="153"/>
        <v>0</v>
      </c>
      <c r="X110" s="241">
        <f t="shared" si="132"/>
        <v>469550.34362907673</v>
      </c>
      <c r="Z110" s="257">
        <f>(Z109-Z93)*0.3875+(Z93*0.1)</f>
        <v>308284.00084173045</v>
      </c>
      <c r="AA110" s="257">
        <f>AA109*0.3875</f>
        <v>74552.331284733256</v>
      </c>
      <c r="AB110" s="257">
        <f t="shared" ref="AB110:AE110" si="154">AB109*0.3875</f>
        <v>24691.5</v>
      </c>
      <c r="AC110" s="257">
        <f t="shared" si="154"/>
        <v>0</v>
      </c>
      <c r="AD110" s="257">
        <f t="shared" si="154"/>
        <v>0</v>
      </c>
      <c r="AE110" s="257">
        <f t="shared" si="154"/>
        <v>0</v>
      </c>
      <c r="AF110" s="241">
        <f t="shared" si="133"/>
        <v>407527.83212646371</v>
      </c>
      <c r="AH110" s="257">
        <f>AH109*0.3875</f>
        <v>844047.81552347378</v>
      </c>
      <c r="AI110" s="257">
        <f t="shared" ref="AI110:AM110" si="155">AI109*0.3875</f>
        <v>38186.264901962502</v>
      </c>
      <c r="AJ110" s="257">
        <f t="shared" si="155"/>
        <v>38641.5</v>
      </c>
      <c r="AK110" s="257">
        <f t="shared" si="155"/>
        <v>0</v>
      </c>
      <c r="AL110" s="257">
        <f t="shared" si="155"/>
        <v>0</v>
      </c>
      <c r="AM110" s="257">
        <f t="shared" si="155"/>
        <v>0</v>
      </c>
      <c r="AN110" s="241">
        <f t="shared" si="134"/>
        <v>920875.58042543626</v>
      </c>
      <c r="AP110" s="257">
        <f>(AP109)*0.3875</f>
        <v>233794.01012587504</v>
      </c>
      <c r="AQ110" s="257">
        <f t="shared" ref="AQ110:AU110" si="156">(AQ109)*0.3875</f>
        <v>30242.554040625</v>
      </c>
      <c r="AR110" s="257">
        <f t="shared" si="156"/>
        <v>11718</v>
      </c>
      <c r="AS110" s="257">
        <f t="shared" si="156"/>
        <v>0</v>
      </c>
      <c r="AT110" s="257">
        <f t="shared" si="156"/>
        <v>0</v>
      </c>
      <c r="AU110" s="257">
        <f t="shared" si="156"/>
        <v>0</v>
      </c>
      <c r="AV110" s="241">
        <f t="shared" si="135"/>
        <v>275754.56416650006</v>
      </c>
      <c r="AX110" s="257">
        <f>(AX109-AX93)*0.3675+(AX93*0.1)</f>
        <v>0</v>
      </c>
      <c r="AY110" s="257">
        <f t="shared" ref="AY110:BC110" si="157">AY109*0.3675</f>
        <v>0</v>
      </c>
      <c r="AZ110" s="257">
        <f t="shared" si="157"/>
        <v>0</v>
      </c>
      <c r="BA110" s="257">
        <f t="shared" si="157"/>
        <v>0</v>
      </c>
      <c r="BB110" s="257">
        <f t="shared" si="157"/>
        <v>0</v>
      </c>
      <c r="BC110" s="257">
        <f t="shared" si="157"/>
        <v>0</v>
      </c>
      <c r="BD110" s="241">
        <f t="shared" si="136"/>
        <v>0</v>
      </c>
      <c r="BF110" s="241">
        <f>BF109*0.3875</f>
        <v>95747.926092618756</v>
      </c>
      <c r="BG110" s="241">
        <f t="shared" ref="BG110:BK110" si="158">BG109*0.3875</f>
        <v>0</v>
      </c>
      <c r="BH110" s="241">
        <f t="shared" si="158"/>
        <v>10307.5</v>
      </c>
      <c r="BI110" s="241">
        <f t="shared" si="158"/>
        <v>0</v>
      </c>
      <c r="BJ110" s="241">
        <f t="shared" si="158"/>
        <v>0</v>
      </c>
      <c r="BK110" s="241">
        <f t="shared" si="158"/>
        <v>0</v>
      </c>
      <c r="BL110" s="241">
        <f t="shared" si="137"/>
        <v>106055.42609261876</v>
      </c>
      <c r="BN110" s="241">
        <f>B110+J110+R110+Z110+AH110+AP110+AX110+BF110</f>
        <v>3242533.8879283704</v>
      </c>
      <c r="BO110" s="241">
        <f t="shared" ref="BO110:BS115" si="159">C110+K110+S110+AA110+AI110+AQ110+AY110+BG110</f>
        <v>367644.21304593864</v>
      </c>
      <c r="BP110" s="241">
        <f t="shared" si="159"/>
        <v>202670.25</v>
      </c>
      <c r="BQ110" s="241">
        <f t="shared" si="159"/>
        <v>0</v>
      </c>
      <c r="BR110" s="241">
        <f t="shared" si="159"/>
        <v>0</v>
      </c>
      <c r="BS110" s="241">
        <f t="shared" si="159"/>
        <v>0</v>
      </c>
      <c r="BT110" s="241">
        <f t="shared" ref="BT110:BT115" si="160">SUM(BN110:BS110)</f>
        <v>3812848.3509743093</v>
      </c>
    </row>
    <row r="111" spans="1:72" x14ac:dyDescent="0.25">
      <c r="A111" s="201" t="s">
        <v>244</v>
      </c>
      <c r="B111" s="242">
        <f>(((10985*(B64*0.8))+((230*(B64*0.85))+((90*(B64*0.825))+(B64*70)+(B109*0.015)+(B109*0.03)))))</f>
        <v>144267.91887059645</v>
      </c>
      <c r="C111" s="242">
        <f t="shared" ref="C111:G111" si="161">(((10985*(C64*0.8))+((230*(C64*0.85))+((90*(C64*0.825))+(C64*70)+(C109*0.015)+(C109*0.03)))))</f>
        <v>26274.654652062498</v>
      </c>
      <c r="D111" s="242">
        <f>(((10985*(D64*0.8))+((230*(D64*0.85))+((90*(D64*0.825))+(D64*70)+(D109*0.015)+(D109*0.03)))))*0.6</f>
        <v>12693.179999999998</v>
      </c>
      <c r="E111" s="242">
        <f t="shared" si="161"/>
        <v>0</v>
      </c>
      <c r="F111" s="242">
        <f t="shared" si="161"/>
        <v>0</v>
      </c>
      <c r="G111" s="242">
        <f t="shared" si="161"/>
        <v>0</v>
      </c>
      <c r="H111" s="241">
        <f t="shared" si="130"/>
        <v>183235.75352265895</v>
      </c>
      <c r="J111" s="242">
        <f>(((10985*(J64*0.8))+((230*(J64*0.85))+((90*(J64*0.825))+(J64*70)+(J109*0.015)+(J109*0.03)))))</f>
        <v>489549.37622329529</v>
      </c>
      <c r="K111" s="242">
        <f t="shared" ref="K111:O111" si="162">(((10985*(K64*0.8))+((230*(K64*0.85))+((90*(K64*0.825))+(K64*70)+(K109*0.015)+(K109*0.03)))))</f>
        <v>39344.784974148002</v>
      </c>
      <c r="L111" s="242">
        <f>(((10985*(L64*0.8))+((230*(L64*0.85))+((90*(L64*0.825))+(L64*70)+(L109*0.015)+(L109*0.03)))))*0.6</f>
        <v>37416.15</v>
      </c>
      <c r="M111" s="242">
        <f t="shared" si="162"/>
        <v>0</v>
      </c>
      <c r="N111" s="242">
        <f t="shared" si="162"/>
        <v>0</v>
      </c>
      <c r="O111" s="242">
        <f t="shared" si="162"/>
        <v>0</v>
      </c>
      <c r="P111" s="241">
        <f t="shared" si="131"/>
        <v>566310.31119744328</v>
      </c>
      <c r="R111" s="242">
        <f>(((10985*(R64*0.8))+((230*(R64*0.85))+((90*(R64*0.825))+(R64*70)+(R109*0.015)+(R109*0.03)))))</f>
        <v>177641.83755903802</v>
      </c>
      <c r="S111" s="242">
        <f t="shared" ref="S111:W111" si="163">(((10985*(S64*0.8))+((230*(S64*0.85))+((90*(S64*0.825))+(S64*70)+(S109*0.015)+(S109*0.03)))))</f>
        <v>19800.839443048353</v>
      </c>
      <c r="T111" s="242">
        <f>(((10985*(T64*0.8))+((230*(T64*0.85))+((90*(T64*0.825))+(T64*70)+(T109*0.015)+(T109*0.03)))))*0.6</f>
        <v>12831.15</v>
      </c>
      <c r="U111" s="242">
        <f t="shared" si="163"/>
        <v>0</v>
      </c>
      <c r="V111" s="242">
        <f t="shared" si="163"/>
        <v>0</v>
      </c>
      <c r="W111" s="242">
        <f t="shared" si="163"/>
        <v>0</v>
      </c>
      <c r="X111" s="241">
        <f t="shared" si="132"/>
        <v>210273.82700208636</v>
      </c>
      <c r="Z111" s="242">
        <f>(((10985*(Z64*0.8))+((230*(Z64*0.85))+((90*(Z64*0.825))+(Z64*70)+(Z109*0.015)+(Z109*0.03)))))</f>
        <v>167343.00097661864</v>
      </c>
      <c r="AA111" s="242">
        <f t="shared" ref="AA111:AE111" si="164">(((10985*(AA64*0.8))+((230*(AA64*0.85))+((90*(AA64*0.825))+(AA64*70)+(AA109*0.015)+(AA109*0.03)))))</f>
        <v>34489.222584678704</v>
      </c>
      <c r="AB111" s="242">
        <f>(((10985*(AB64*0.8))+((230*(AB64*0.85))+((90*(AB64*0.825))+(AB64*70)+(AB109*0.015)+(AB109*0.03)))))*0.6</f>
        <v>12673.74</v>
      </c>
      <c r="AC111" s="242">
        <f t="shared" si="164"/>
        <v>0</v>
      </c>
      <c r="AD111" s="242">
        <f t="shared" si="164"/>
        <v>0</v>
      </c>
      <c r="AE111" s="242">
        <f t="shared" si="164"/>
        <v>0</v>
      </c>
      <c r="AF111" s="241">
        <f t="shared" si="133"/>
        <v>214505.96356129734</v>
      </c>
      <c r="AH111" s="242">
        <f>(((10985*(AH64*0.8))+((230*(AH64*0.85))+((90*(AH64*0.825))+(AH64*70)+(AH109*0.015)+(AH109*0.03)))))</f>
        <v>417489.70599627437</v>
      </c>
      <c r="AI111" s="242">
        <f t="shared" ref="AI111:AM111" si="165">(((10985*(AI64*0.8))+((230*(AI64*0.85))+((90*(AI64*0.825))+(AI64*70)+(AI109*0.015)+(AI109*0.03)))))</f>
        <v>18126.158988615003</v>
      </c>
      <c r="AJ111" s="242">
        <f>(((10985*(AJ64*0.8))+((230*(AJ64*0.85))+((90*(AJ64*0.825))+(AJ64*70)+(AJ109*0.015)+(AJ109*0.03)))))*0.6</f>
        <v>24599.040000000001</v>
      </c>
      <c r="AK111" s="242">
        <f t="shared" si="165"/>
        <v>0</v>
      </c>
      <c r="AL111" s="242">
        <f t="shared" si="165"/>
        <v>0</v>
      </c>
      <c r="AM111" s="242">
        <f t="shared" si="165"/>
        <v>0</v>
      </c>
      <c r="AN111" s="241">
        <f t="shared" si="134"/>
        <v>460214.90498488938</v>
      </c>
      <c r="AP111" s="242">
        <f>(((10985*(AP64*0.8))+((230*(AP64*0.85))+((90*(AP64*0.825))+(AP64*70)+(AP109*0.015)+(AP109*0.03)))))</f>
        <v>109300.02214365</v>
      </c>
      <c r="AQ111" s="242">
        <f t="shared" ref="AQ111:AU111" si="166">(((10985*(AQ64*0.8))+((230*(AQ64*0.85))+((90*(AQ64*0.825))+(AQ64*70)+(AQ109*0.015)+(AQ109*0.03)))))</f>
        <v>12639.788533749999</v>
      </c>
      <c r="AR111" s="242">
        <f>(((10985*(AR64*0.8))+((230*(AR64*0.85))+((90*(AR64*0.825))+(AR64*70)+(AR109*0.015)+(AR109*0.03)))))*0.6</f>
        <v>6293.1299999999992</v>
      </c>
      <c r="AS111" s="242">
        <f t="shared" si="166"/>
        <v>0</v>
      </c>
      <c r="AT111" s="242">
        <f t="shared" si="166"/>
        <v>0</v>
      </c>
      <c r="AU111" s="242">
        <f t="shared" si="166"/>
        <v>0</v>
      </c>
      <c r="AV111" s="241">
        <f t="shared" si="135"/>
        <v>128232.94067740001</v>
      </c>
      <c r="AX111" s="242">
        <f>(((7600*(AX64*0.8))+((190*(AX64*0.85))+((70*(AX64*0.825))+(AX64*50)+(AX109*0.015)+(AX109*0.03)))))</f>
        <v>0</v>
      </c>
      <c r="AY111" s="242">
        <f>(((7600*(AY64*0.8))+((190*(AY64*0.85))+((70*(AY64*0.825))+(AY64*50)+(AY109*0.015)+(AY109*0.03)))))</f>
        <v>0</v>
      </c>
      <c r="AZ111" s="242">
        <f t="shared" ref="AZ111:BC111" si="167">(((7600*(AZ64*0.8))+((190*(AZ64*0.85))+((70*(AZ64*0.825))+(AZ64*50)+(AZ109*0.015)+(AZ109*0.03)))))</f>
        <v>0</v>
      </c>
      <c r="BA111" s="242">
        <f t="shared" si="167"/>
        <v>0</v>
      </c>
      <c r="BB111" s="242">
        <f t="shared" si="167"/>
        <v>0</v>
      </c>
      <c r="BC111" s="242">
        <f t="shared" si="167"/>
        <v>0</v>
      </c>
      <c r="BD111" s="241">
        <f t="shared" si="136"/>
        <v>0</v>
      </c>
      <c r="BF111" s="242">
        <f>BF109*0.2</f>
        <v>49418.284434900008</v>
      </c>
      <c r="BG111" s="242">
        <f t="shared" ref="BG111:BK111" si="168">BG109*0.175</f>
        <v>0</v>
      </c>
      <c r="BH111" s="242">
        <f>BH109*0.1</f>
        <v>2660</v>
      </c>
      <c r="BI111" s="242">
        <f t="shared" si="168"/>
        <v>0</v>
      </c>
      <c r="BJ111" s="242">
        <f t="shared" si="168"/>
        <v>0</v>
      </c>
      <c r="BK111" s="242">
        <f t="shared" si="168"/>
        <v>0</v>
      </c>
      <c r="BL111" s="241">
        <f t="shared" si="137"/>
        <v>52078.284434900008</v>
      </c>
      <c r="BN111" s="241">
        <f t="shared" ref="BN111:BN115" si="169">B111+J111+R111+Z111+AH111+AP111+AX111+BF111</f>
        <v>1555010.1462043729</v>
      </c>
      <c r="BO111" s="241">
        <f t="shared" si="159"/>
        <v>150675.44917630256</v>
      </c>
      <c r="BP111" s="241">
        <f t="shared" si="159"/>
        <v>109166.39000000001</v>
      </c>
      <c r="BQ111" s="241">
        <f t="shared" si="159"/>
        <v>0</v>
      </c>
      <c r="BR111" s="241">
        <f t="shared" si="159"/>
        <v>0</v>
      </c>
      <c r="BS111" s="241">
        <f t="shared" si="159"/>
        <v>0</v>
      </c>
      <c r="BT111" s="241">
        <f t="shared" si="160"/>
        <v>1814851.9853806756</v>
      </c>
    </row>
    <row r="112" spans="1:72" x14ac:dyDescent="0.25">
      <c r="A112" s="201" t="s">
        <v>245</v>
      </c>
      <c r="B112" s="242">
        <f>(2500*B39)+(2000*B40)+((1500*(B42+B44+B45))+((1250*(B46+B47+B53))+((1250*(B57+B58+B60))+((500*(B52+B51+B49+B48))))))+(1000*5)</f>
        <v>17750</v>
      </c>
      <c r="C112" s="242">
        <f>(2500*C39)+(2000*C40)+((1500*(C42+C44+C45))+((1250*(C46+C47+C53))+((1250*(C57+C58+C60))+((500*(C52+C51+C49+C48))))))</f>
        <v>2000</v>
      </c>
      <c r="D112" s="242">
        <f>(2500*D39)+(2000*D40)+((1500*(D42+D44+D45))+((1250*(D46+D47+D53))+((1250*(D57+D58+D60))+((500*(D52+D51+D49+D48))))))</f>
        <v>1000</v>
      </c>
      <c r="E112" s="242">
        <f>(2500*E39)+(2000*E40)+((1500*(E42+E44+E45))+((1250*(E46+E47+E53))+((1250*(E57+E58+E60))+((500*(E52+E51+E49+E48))))))</f>
        <v>0</v>
      </c>
      <c r="F112" s="242">
        <f t="shared" ref="F112:G112" si="170">(2500*F39)+(2000*F40)+((1500*(F42+F44+F45))+((1250*(F46+F47+F53))+((1250*(F57+F58+F60))+((500*(F52+F51+F49+F48))))))</f>
        <v>0</v>
      </c>
      <c r="G112" s="242">
        <f t="shared" si="170"/>
        <v>0</v>
      </c>
      <c r="H112" s="241">
        <f t="shared" si="130"/>
        <v>20750</v>
      </c>
      <c r="J112" s="242">
        <f>(2500*J39)+(2000*J40)+((1500*(J42+J44+J45))+((1250*(J46+J47+J53))+((1250*(J57+J58+J60))+((500*(J52+J51+J49+J48))))))+(1000*20)</f>
        <v>65500</v>
      </c>
      <c r="K112" s="242">
        <f>(2500*K39)+(2000*K40)+((1500*(K42+K44+K45))+((1250*(K46+K47+K53))+((1250*(K57+K58+K60))+((500*(K52+K51+K49+K48))))))</f>
        <v>0</v>
      </c>
      <c r="L112" s="242">
        <f>(2500*L39)+(2000*L40)+((1500*(L42+L44+L45))+((1250*(L46+L47+L53))+((1250*(L57+L58+L60))+((500*(L52+L51+L49+L48))))))</f>
        <v>3000</v>
      </c>
      <c r="M112" s="242">
        <f>(2500*M39)+(2000*M40)+((1500*(M42+M44+M45))+((1250*(M46+M47+M53))+((1250*(M57+M58+M60))+((500*(M52+M51+M49+M48))))))</f>
        <v>0</v>
      </c>
      <c r="N112" s="242">
        <f t="shared" ref="N112:O112" si="171">(2500*N39)+(2000*N40)+((1500*(N42+N44+N45))+((1250*(N46+N47+N53))+((1250*(N57+N58+N60))+((500*(N52+N51+N49+N48))))))</f>
        <v>0</v>
      </c>
      <c r="O112" s="242">
        <f t="shared" si="171"/>
        <v>0</v>
      </c>
      <c r="P112" s="241">
        <f t="shared" si="131"/>
        <v>68500</v>
      </c>
      <c r="R112" s="242">
        <f>(2500*R39)+(2000*R40)+((1500*(R42+R44+R45))+((1250*(R46+R47+R53))+((1250*(R57+R58+R60))+((500*(R52+R51+R49+R48))))))+(1000*10)</f>
        <v>26875</v>
      </c>
      <c r="S112" s="242">
        <f>(2500*S39)+(2000*S40)+((1500*(S42+S44+S45))+((1250*(S46+S47+S53))+((1250*(S57+S58+S60))+((500*(S52+S51+S49+S48))))))</f>
        <v>0</v>
      </c>
      <c r="T112" s="242">
        <f>(2500*T39)+(2000*T40)+((1500*(T42+T44+T45))+((1250*(T46+T47+T53))+((1250*(T57+T58+T60))+((500*(T52+T51+T49+T48))))))</f>
        <v>1000</v>
      </c>
      <c r="U112" s="242">
        <f>(2500*U39)+(2000*U40)+((1500*(U42+U44+U45))+((1250*(U46+U47+U53))+((1250*(U57+U58+U60))+((500*(U52+U51+U49+U48))))))</f>
        <v>0</v>
      </c>
      <c r="V112" s="242">
        <f t="shared" ref="V112:W112" si="172">(2500*V39)+(2000*V40)+((1500*(V42+V44+V45))+((1250*(V46+V47+V53))+((1250*(V57+V58+V60))+((500*(V52+V51+V49+V48))))))</f>
        <v>0</v>
      </c>
      <c r="W112" s="242">
        <f t="shared" si="172"/>
        <v>0</v>
      </c>
      <c r="X112" s="241">
        <f t="shared" si="132"/>
        <v>27875</v>
      </c>
      <c r="Z112" s="242">
        <f>(2500*Z39)+(2000*Z40)+((1500*(Z42+Z44+Z45))+((1250*(Z46+Z47+Z53))+((1250*(Z57+Z58+Z60))+((500*(Z52+Z51+Z49+Z48))))))+(1000*18)</f>
        <v>31375</v>
      </c>
      <c r="AA112" s="242">
        <f>(2500*AA39)+(2000*AA40)+((1500*(AA42+AA44+AA45))+((1250*(AA46+AA47+AA53))+((1250*(AA57+AA58+AA60))+((500*(AA52+AA51+AA49+AA48))))))</f>
        <v>412.5</v>
      </c>
      <c r="AB112" s="242">
        <f>(2500*AB39)+(2000*AB40)+((1500*(AB42+AB44+AB45))+((1250*(AB46+AB47+AB53))+((1250*(AB57+AB58+AB60))+((500*(AB52+AB51+AB49+AB48))))))</f>
        <v>1000</v>
      </c>
      <c r="AC112" s="242">
        <f>(2500*AC39)+(2000*AC40)+((1500*(AC42+AC44+AC45))+((1250*(AC46+AC47+AC53))+((1250*(AC57+AC58+AC60))+((500*(AC52+AC51+AC49+AC48))))))</f>
        <v>0</v>
      </c>
      <c r="AD112" s="242">
        <f t="shared" ref="AD112:AE112" si="173">(2500*AD39)+(2000*AD40)+((1500*(AD42+AD44+AD45))+((1250*(AD46+AD47+AD53))+((1250*(AD57+AD58+AD60))+((500*(AD52+AD51+AD49+AD48))))))</f>
        <v>0</v>
      </c>
      <c r="AE112" s="242">
        <f t="shared" si="173"/>
        <v>0</v>
      </c>
      <c r="AF112" s="241">
        <f t="shared" si="133"/>
        <v>32787.5</v>
      </c>
      <c r="AH112" s="242">
        <f>(2500*AH39)+(2000*AH40)+((1500*(AH42+AH44+AH45))+((1250*(AH46+AH47+AH53))+((1250*(AH57+AH58+AH60))+((500*(AH52+AH51+AH49+AH48))))))+(1000*25)</f>
        <v>60750</v>
      </c>
      <c r="AI112" s="242">
        <f>(2500*AI39)+(2000*AI40)+((1500*(AI42+AI44+AI45))+((1250*(AI46+AI47+AI53))+((1250*(AI57+AI58+AI60))+((500*(AI52+AI51+AI49+AI48))))))</f>
        <v>625</v>
      </c>
      <c r="AJ112" s="242">
        <f>(2500*AJ39)+(2000*AJ40)+((1500*(AJ42+AJ44+AJ45))+((1250*(AJ46+AJ47+AJ53))+((1250*(AJ57+AJ58+AJ60))+((500*(AJ52+AJ51+AJ49+AJ48))))))</f>
        <v>2000</v>
      </c>
      <c r="AK112" s="242">
        <f>(2500*AK39)+(2000*AK40)+((1500*(AK42+AK44+AK45))+((1250*(AK46+AK47+AK53))+((1250*(AK57+AK58+AK60))+((500*(AK52+AK51+AK49+AK48))))))</f>
        <v>0</v>
      </c>
      <c r="AL112" s="242">
        <f t="shared" ref="AL112:AM112" si="174">(2500*AL39)+(2000*AL40)+((1500*(AL42+AL44+AL45))+((1250*(AL46+AL47+AL53))+((1250*(AL57+AL58+AL60))+((500*(AL52+AL51+AL49+AL48))))))</f>
        <v>0</v>
      </c>
      <c r="AM112" s="242">
        <f t="shared" si="174"/>
        <v>0</v>
      </c>
      <c r="AN112" s="241">
        <f t="shared" si="134"/>
        <v>63375</v>
      </c>
      <c r="AP112" s="242">
        <f>(2500*AP39)+(2000*AP40)+((1500*(AP42+AP44+AP45))+((1250*(AP46+AP47+AP53))+((1250*(AP57+AP58+AP60))+((500*(AP52+AP51+AP49+AP48))))))</f>
        <v>11000</v>
      </c>
      <c r="AQ112" s="242">
        <f>(2500*AQ39)+(2000*AQ40)+((1500*(AQ42+AQ44+AQ45))+((1250*(AQ46+AQ47+AQ53))+((1250*(AQ57+AQ58+AQ60))+((500*(AQ52+AQ51+AQ49+AQ48))))))</f>
        <v>0</v>
      </c>
      <c r="AR112" s="242">
        <f>(2500*AR39)+(2000*AR40)+((1500*(AR42+AR44+AR45))+((1250*(AR46+AR47+AR53))+((1250*(AR57+AR58+AR60))+((500*(AR52+AR51+AR49+AR48))))))</f>
        <v>500</v>
      </c>
      <c r="AS112" s="242">
        <f>(2500*AS39)+(2000*AS40)+((1500*(AS42+AS44+AS45))+((1250*(AS46+AS47+AS53))+((1250*(AS57+AS58+AS60))+((500*(AS52+AS51+AS49+AS48))))))</f>
        <v>0</v>
      </c>
      <c r="AT112" s="242">
        <f t="shared" ref="AT112:AU112" si="175">(2500*AT39)+(2000*AT40)+((1500*(AT42+AT44+AT45))+((1250*(AT46+AT47+AT53))+((1250*(AT57+AT58+AT60))+((500*(AT52+AT51+AT49+AT48))))))</f>
        <v>0</v>
      </c>
      <c r="AU112" s="242">
        <f t="shared" si="175"/>
        <v>0</v>
      </c>
      <c r="AV112" s="241">
        <f t="shared" si="135"/>
        <v>11500</v>
      </c>
      <c r="AX112" s="242">
        <f>(2500*AX39)+(2000*AX40)+((1500*(AX42+AX44+AX45))+((1250*(AX46+AX47+AX53))+((1250*(AX57+AX58+AX60))+((500*(AX52+AX51+AX49+AX48))))))</f>
        <v>0</v>
      </c>
      <c r="AY112" s="242">
        <f>(2500*AY39)+(2000*AY40)+((1500*(AY42+AY44+AY45))+((1250*(AY46+AY47+AY53))+((1250*(AY57+AY58+AY60))+((500*(AY52+AY51+AY49+AY48))))))</f>
        <v>0</v>
      </c>
      <c r="AZ112" s="242">
        <f>(2500*AZ39)+(2000*AZ40)+((1500*(AZ42+AZ44+AZ45))+((1250*(AZ46+AZ47+AZ53))+((1250*(AZ57+AZ58+AZ60))+((500*(AZ52+AZ51+AZ49+AZ48))))))</f>
        <v>0</v>
      </c>
      <c r="BA112" s="242">
        <f>(2500*BA39)+(2000*BA40)+((1500*(BA42+BA44+BA45))+((1250*(BA46+BA47+BA53))+((1250*(BA57+BA58+BA60))+((500*(BA52+BA51+BA49+BA48))))))</f>
        <v>0</v>
      </c>
      <c r="BB112" s="242">
        <f t="shared" ref="BB112:BC112" si="176">(2500*BB39)+(2000*BB40)+((1500*(BB42+BB44+BB45))+((1250*(BB46+BB47+BB53))+((1250*(BB57+BB58+BB60))+((500*(BB52+BB51+BB49+BB48))))))</f>
        <v>0</v>
      </c>
      <c r="BC112" s="242">
        <f t="shared" si="176"/>
        <v>0</v>
      </c>
      <c r="BD112" s="241">
        <f t="shared" si="136"/>
        <v>0</v>
      </c>
      <c r="BF112" s="242">
        <f>(2500*BF39)+(2000*BF40)+((1500*(BF42+BF44+BF45))+((1250*(BF46+BF47+BF53))+((1250*(BF57+BF58+BF60))+((500*(BF52+BF51+BF49+BF48))))))+(1000*1)</f>
        <v>4750</v>
      </c>
      <c r="BG112" s="242">
        <f>(2500*BG39)+(2000*BG40)+((1500*(BG42+BG44+BG45))+((1250*(BG46+BG47+BG53))+((1250*(BG57+BG58+BG60))+((500*(BG52+BG51+BG49+BG48))))))</f>
        <v>0</v>
      </c>
      <c r="BH112" s="242">
        <f>(2500*BH39)+(2000*BH40)+((1500*(BH42+BH44+BH45))+((1250*(BH46+BH47+BH53))+((1250*(BH57+BH58+BH60))+((500*(BH52+BH51+BH49+BH48))))))</f>
        <v>500</v>
      </c>
      <c r="BI112" s="242">
        <f>(2500*BI39)+(2000*BI40)+((1500*(BI42+BI44+BI45))+((1250*(BI46+BI47+BI53))+((1250*(BI57+BI58+BI60))+((500*(BI52+BI51+BI49+BI48))))))</f>
        <v>0</v>
      </c>
      <c r="BJ112" s="242">
        <f t="shared" ref="BJ112:BK112" si="177">(2500*BJ39)+(2000*BJ40)+((1500*(BJ42+BJ44+BJ45))+((1250*(BJ46+BJ47+BJ53))+((1250*(BJ57+BJ58+BJ60))+((500*(BJ52+BJ51+BJ49+BJ48))))))</f>
        <v>0</v>
      </c>
      <c r="BK112" s="242">
        <f t="shared" si="177"/>
        <v>0</v>
      </c>
      <c r="BL112" s="241">
        <f t="shared" si="137"/>
        <v>5250</v>
      </c>
      <c r="BN112" s="241">
        <f t="shared" si="169"/>
        <v>218000</v>
      </c>
      <c r="BO112" s="241">
        <f t="shared" si="159"/>
        <v>3037.5</v>
      </c>
      <c r="BP112" s="241">
        <f t="shared" si="159"/>
        <v>9000</v>
      </c>
      <c r="BQ112" s="241">
        <f t="shared" si="159"/>
        <v>0</v>
      </c>
      <c r="BR112" s="241">
        <f t="shared" si="159"/>
        <v>0</v>
      </c>
      <c r="BS112" s="241">
        <f t="shared" si="159"/>
        <v>0</v>
      </c>
      <c r="BT112" s="241">
        <f t="shared" si="160"/>
        <v>230037.5</v>
      </c>
    </row>
    <row r="113" spans="1:72" x14ac:dyDescent="0.25">
      <c r="A113" s="201" t="s">
        <v>246</v>
      </c>
      <c r="B113" s="242">
        <f>(500*B39)+(250*B40)+((175*(B42+B44+B45))+((175*(B46+B47+B53))+((175*(B57+B58+B60))+((75*(B52+B51+B49+B48))))))*1.09+(175*10)</f>
        <v>3731</v>
      </c>
      <c r="C113" s="242">
        <f>(500*C39)+(250*C40)+((175*(C42+C44+C45))+((175*(C46+C47+C53))+((175*(C57+C58+C60))+((75*(C52+C51+C49+C48))))))*1.09</f>
        <v>250</v>
      </c>
      <c r="D113" s="242">
        <f t="shared" ref="D113:G113" si="178">(500*D39)+(250*D40)+((175*(D42+D44+D45))+((175*(D46+D47+D53))+((175*(D57+D58+D60))+((75*(D52+D51+D49+D48))))))*1.09</f>
        <v>163.5</v>
      </c>
      <c r="E113" s="242">
        <f t="shared" si="178"/>
        <v>0</v>
      </c>
      <c r="F113" s="242">
        <f t="shared" si="178"/>
        <v>0</v>
      </c>
      <c r="G113" s="242">
        <f t="shared" si="178"/>
        <v>0</v>
      </c>
      <c r="H113" s="241">
        <f t="shared" si="130"/>
        <v>4144.5</v>
      </c>
      <c r="J113" s="242">
        <f>(500*J39)+(250*J40)+((175*(J42+J44+J45))+((175*(J46+J47+J53))+((175*(J57+J58+J60))+((75*(J52+J51+J49+J48))))))*1.09+(175*20)</f>
        <v>9914.5</v>
      </c>
      <c r="K113" s="242">
        <f>(500*K39)+(250*K40)+((175*(K42+K44+K45))+((175*(K46+K47+K53))+((175*(K57+K58+K60))+((75*(K52+K51+K49+K48))))))*1.09</f>
        <v>0</v>
      </c>
      <c r="L113" s="242">
        <f t="shared" ref="L113:O113" si="179">(500*L39)+(250*L40)+((175*(L42+L44+L45))+((175*(L46+L47+L53))+((175*(L57+L58+L60))+((75*(L52+L51+L49+L48))))))*1.09</f>
        <v>490.50000000000006</v>
      </c>
      <c r="M113" s="242">
        <f t="shared" si="179"/>
        <v>0</v>
      </c>
      <c r="N113" s="242">
        <f t="shared" si="179"/>
        <v>0</v>
      </c>
      <c r="O113" s="242">
        <f t="shared" si="179"/>
        <v>0</v>
      </c>
      <c r="P113" s="241">
        <f t="shared" si="131"/>
        <v>10405</v>
      </c>
      <c r="R113" s="242">
        <f>(500*R39)+(250*R40)+((175*(R42+R44+R45))+((175*(R46+R47+R53))+((175*(R57+R58+R60))+((75*(R52+R51+R49+R48))))))*1.09+(175*15)</f>
        <v>5142.125</v>
      </c>
      <c r="S113" s="242">
        <f>(500*S39)+(250*S40)+((175*(S42+S44+S45))+((175*(S46+S47+S53))+((175*(S57+S58+S60))+((75*(S52+S51+S49+S48))))))*1.09</f>
        <v>0</v>
      </c>
      <c r="T113" s="242">
        <f t="shared" ref="T113:W113" si="180">(500*T39)+(250*T40)+((175*(T42+T44+T45))+((175*(T46+T47+T53))+((175*(T57+T58+T60))+((75*(T52+T51+T49+T48))))))*1.09</f>
        <v>163.5</v>
      </c>
      <c r="U113" s="242">
        <f t="shared" si="180"/>
        <v>0</v>
      </c>
      <c r="V113" s="242">
        <f t="shared" si="180"/>
        <v>0</v>
      </c>
      <c r="W113" s="242">
        <f t="shared" si="180"/>
        <v>0</v>
      </c>
      <c r="X113" s="241">
        <f t="shared" si="132"/>
        <v>5305.625</v>
      </c>
      <c r="Z113" s="242">
        <f>(500*Z39)+(250*Z40)+((175*(Z42+Z44+Z45))+((175*(Z46+Z47+Z53))+((175*(Z57+Z58+Z60))+((75*(Z52+Z51+Z49+Z48))))))*1.09+(175*15)</f>
        <v>4701.375</v>
      </c>
      <c r="AA113" s="242">
        <f>(500*AA39)+(250*AA40)+((175*(AA42+AA44+AA45))+((175*(AA46+AA47+AA53))+((175*(AA57+AA58+AA60))+((75*(AA52+AA51+AA49+AA48))))))*1.09</f>
        <v>62.947500000000005</v>
      </c>
      <c r="AB113" s="242">
        <f t="shared" ref="AB113:AE113" si="181">(500*AB39)+(250*AB40)+((175*(AB42+AB44+AB45))+((175*(AB46+AB47+AB53))+((175*(AB57+AB58+AB60))+((75*(AB52+AB51+AB49+AB48))))))*1.09</f>
        <v>163.5</v>
      </c>
      <c r="AC113" s="242">
        <f t="shared" si="181"/>
        <v>0</v>
      </c>
      <c r="AD113" s="242">
        <f t="shared" si="181"/>
        <v>0</v>
      </c>
      <c r="AE113" s="242">
        <f t="shared" si="181"/>
        <v>0</v>
      </c>
      <c r="AF113" s="241">
        <f t="shared" si="133"/>
        <v>4927.8225000000002</v>
      </c>
      <c r="AH113" s="242">
        <f>(500*AH39)+(250*AH40)+((175*(AH42+AH44+AH45))+((175*(AH46+AH47+AH53))+((175*(AH57+AH58+AH60))+((75*(AH52+AH51+AH49+AH48))))))*1.09+(175*15)</f>
        <v>7776.5</v>
      </c>
      <c r="AI113" s="242">
        <f>(500*AI39)+(250*AI40)+((175*(AI42+AI44+AI45))+((175*(AI46+AI47+AI53))+((175*(AI57+AI58+AI60))+((75*(AI52+AI51+AI49+AI48))))))*1.09</f>
        <v>95.375</v>
      </c>
      <c r="AJ113" s="242">
        <f t="shared" ref="AJ113:AM113" si="182">(500*AJ39)+(250*AJ40)+((175*(AJ42+AJ44+AJ45))+((175*(AJ46+AJ47+AJ53))+((175*(AJ57+AJ58+AJ60))+((75*(AJ52+AJ51+AJ49+AJ48))))))*1.09</f>
        <v>327</v>
      </c>
      <c r="AK113" s="242">
        <f t="shared" si="182"/>
        <v>0</v>
      </c>
      <c r="AL113" s="242">
        <f t="shared" si="182"/>
        <v>0</v>
      </c>
      <c r="AM113" s="242">
        <f t="shared" si="182"/>
        <v>0</v>
      </c>
      <c r="AN113" s="241">
        <f t="shared" si="134"/>
        <v>8198.875</v>
      </c>
      <c r="AP113" s="242">
        <f>(500*AP39)+(250*AP40)+((175*(AP42+AP44+AP45))+((175*(AP46+AP47+AP53))+((175*(AP57+AP58+AP60))+((75*(AP52+AP51+AP49+AP48))))))*1.09+(175*10)</f>
        <v>3458.5</v>
      </c>
      <c r="AQ113" s="242">
        <f>(500*AQ39)+(250*AQ40)+((175*(AQ42+AQ44+AQ45))+((175*(AQ46+AQ47+AQ53))+((175*(AQ57+AQ58+AQ60))+((75*(AQ52+AQ51+AQ49+AQ48))))))*1.09</f>
        <v>0</v>
      </c>
      <c r="AR113" s="242">
        <f t="shared" ref="AR113:AU113" si="183">(500*AR39)+(250*AR40)+((175*(AR42+AR44+AR45))+((175*(AR46+AR47+AR53))+((175*(AR57+AR58+AR60))+((75*(AR52+AR51+AR49+AR48))))))*1.09</f>
        <v>81.75</v>
      </c>
      <c r="AS113" s="242">
        <f t="shared" si="183"/>
        <v>0</v>
      </c>
      <c r="AT113" s="242">
        <f t="shared" si="183"/>
        <v>0</v>
      </c>
      <c r="AU113" s="242">
        <f t="shared" si="183"/>
        <v>0</v>
      </c>
      <c r="AV113" s="241">
        <f t="shared" si="135"/>
        <v>3540.25</v>
      </c>
      <c r="AX113" s="242">
        <f>(500*AX39)+(250*AX40)+((175*(AX42+AX44+AX45))+((175*(AX46+AX47+AX53))+((175*(AX57+AX58+AX60))+((75*(AX52+AX51+AX49+AX48))))))*1.09</f>
        <v>0</v>
      </c>
      <c r="AY113" s="242">
        <f>(500*AY39)+(250*AY40)+((175*(AY42+AY44+AY45))+((175*(AY46+AY47+AY53))+((175*(AY57+AY58+AY60))+((75*(AY52+AY51+AY49+AY48))))))*1.09</f>
        <v>0</v>
      </c>
      <c r="AZ113" s="242">
        <f t="shared" ref="AZ113:BC113" si="184">(500*AZ39)+(250*AZ40)+((175*(AZ42+AZ44+AZ45))+((175*(AZ46+AZ47+AZ53))+((175*(AZ57+AZ58+AZ60))+((75*(AZ52+AZ51+AZ49+AZ48))))))*1.09</f>
        <v>0</v>
      </c>
      <c r="BA113" s="242">
        <f t="shared" si="184"/>
        <v>0</v>
      </c>
      <c r="BB113" s="242">
        <f t="shared" si="184"/>
        <v>0</v>
      </c>
      <c r="BC113" s="242">
        <f t="shared" si="184"/>
        <v>0</v>
      </c>
      <c r="BD113" s="241">
        <f t="shared" si="136"/>
        <v>0</v>
      </c>
      <c r="BF113" s="242">
        <f>(500*BF39)+(250*BF40)+((175*(BF42+BF44+BF45))+((175*(BF46+BF47+BF53))+((175*(BF57+BF58+BF60))+((75*(BF52+BF51+BF49+BF48))))))*1.09+(175*5)</f>
        <v>1397.5</v>
      </c>
      <c r="BG113" s="242">
        <f>(500*BG39)+(250*BG40)+((175*(BG42+BG44+BG45))+((175*(BG46+BG47+BG53))+((175*(BG57+BG58+BG60))+((75*(BG52+BG51+BG49+BG48))))))*1.09</f>
        <v>0</v>
      </c>
      <c r="BH113" s="242">
        <f t="shared" ref="BH113:BK113" si="185">(500*BH39)+(250*BH40)+((175*(BH42+BH44+BH45))+((175*(BH46+BH47+BH53))+((175*(BH57+BH58+BH60))+((75*(BH52+BH51+BH49+BH48))))))*1.09</f>
        <v>81.75</v>
      </c>
      <c r="BI113" s="242">
        <f t="shared" si="185"/>
        <v>0</v>
      </c>
      <c r="BJ113" s="242">
        <f t="shared" si="185"/>
        <v>0</v>
      </c>
      <c r="BK113" s="242">
        <f t="shared" si="185"/>
        <v>0</v>
      </c>
      <c r="BL113" s="241">
        <f t="shared" si="137"/>
        <v>1479.25</v>
      </c>
      <c r="BN113" s="241">
        <f t="shared" si="169"/>
        <v>36121.5</v>
      </c>
      <c r="BO113" s="241">
        <f t="shared" si="159"/>
        <v>408.32249999999999</v>
      </c>
      <c r="BP113" s="241">
        <f t="shared" si="159"/>
        <v>1471.5</v>
      </c>
      <c r="BQ113" s="241">
        <f t="shared" si="159"/>
        <v>0</v>
      </c>
      <c r="BR113" s="241">
        <f t="shared" si="159"/>
        <v>0</v>
      </c>
      <c r="BS113" s="241">
        <f t="shared" si="159"/>
        <v>0</v>
      </c>
      <c r="BT113" s="241">
        <f t="shared" si="160"/>
        <v>38001.322500000002</v>
      </c>
    </row>
    <row r="114" spans="1:72" x14ac:dyDescent="0.25">
      <c r="A114" s="201" t="s">
        <v>247</v>
      </c>
      <c r="B114" s="244"/>
      <c r="C114" s="244"/>
      <c r="D114" s="244"/>
      <c r="E114" s="244"/>
      <c r="F114" s="244"/>
      <c r="G114" s="244"/>
      <c r="H114" s="241">
        <f t="shared" si="130"/>
        <v>0</v>
      </c>
      <c r="J114" s="244"/>
      <c r="K114" s="244"/>
      <c r="L114" s="244"/>
      <c r="M114" s="244"/>
      <c r="N114" s="244"/>
      <c r="O114" s="244"/>
      <c r="P114" s="241">
        <f t="shared" si="131"/>
        <v>0</v>
      </c>
      <c r="R114" s="244"/>
      <c r="S114" s="244"/>
      <c r="T114" s="244"/>
      <c r="U114" s="244"/>
      <c r="V114" s="244"/>
      <c r="W114" s="244"/>
      <c r="X114" s="241">
        <f t="shared" si="132"/>
        <v>0</v>
      </c>
      <c r="Z114" s="244"/>
      <c r="AA114" s="244"/>
      <c r="AB114" s="244"/>
      <c r="AC114" s="244"/>
      <c r="AD114" s="244"/>
      <c r="AE114" s="244"/>
      <c r="AF114" s="241">
        <f t="shared" si="133"/>
        <v>0</v>
      </c>
      <c r="AH114" s="244">
        <v>2500</v>
      </c>
      <c r="AI114" s="244"/>
      <c r="AJ114" s="244"/>
      <c r="AK114" s="244"/>
      <c r="AL114" s="244"/>
      <c r="AM114" s="244"/>
      <c r="AN114" s="241">
        <f t="shared" si="134"/>
        <v>2500</v>
      </c>
      <c r="AP114" s="244">
        <v>2500</v>
      </c>
      <c r="AQ114" s="244"/>
      <c r="AR114" s="244"/>
      <c r="AS114" s="244"/>
      <c r="AT114" s="244"/>
      <c r="AU114" s="244"/>
      <c r="AV114" s="241">
        <f t="shared" si="135"/>
        <v>2500</v>
      </c>
      <c r="AX114" s="244"/>
      <c r="AY114" s="244"/>
      <c r="AZ114" s="244"/>
      <c r="BA114" s="244"/>
      <c r="BB114" s="244"/>
      <c r="BC114" s="244"/>
      <c r="BD114" s="241">
        <f t="shared" si="136"/>
        <v>0</v>
      </c>
      <c r="BF114" s="242">
        <v>10000</v>
      </c>
      <c r="BG114" s="242"/>
      <c r="BH114" s="242"/>
      <c r="BI114" s="242"/>
      <c r="BJ114" s="242"/>
      <c r="BK114" s="242"/>
      <c r="BL114" s="241">
        <f t="shared" si="137"/>
        <v>10000</v>
      </c>
      <c r="BN114" s="241">
        <f t="shared" si="169"/>
        <v>15000</v>
      </c>
      <c r="BO114" s="241">
        <f t="shared" si="159"/>
        <v>0</v>
      </c>
      <c r="BP114" s="241">
        <f t="shared" si="159"/>
        <v>0</v>
      </c>
      <c r="BQ114" s="241">
        <f t="shared" si="159"/>
        <v>0</v>
      </c>
      <c r="BR114" s="241">
        <f t="shared" si="159"/>
        <v>0</v>
      </c>
      <c r="BS114" s="241">
        <f t="shared" si="159"/>
        <v>0</v>
      </c>
      <c r="BT114" s="241">
        <f t="shared" si="160"/>
        <v>15000</v>
      </c>
    </row>
    <row r="115" spans="1:72" x14ac:dyDescent="0.25">
      <c r="A115" s="202" t="s">
        <v>248</v>
      </c>
      <c r="B115" s="245">
        <v>3000</v>
      </c>
      <c r="C115" s="245"/>
      <c r="D115" s="245"/>
      <c r="E115" s="245"/>
      <c r="F115" s="245"/>
      <c r="G115" s="245"/>
      <c r="H115" s="241">
        <f t="shared" si="130"/>
        <v>3000</v>
      </c>
      <c r="J115" s="245">
        <v>3000</v>
      </c>
      <c r="K115" s="245"/>
      <c r="L115" s="245"/>
      <c r="M115" s="245"/>
      <c r="N115" s="245"/>
      <c r="O115" s="245"/>
      <c r="P115" s="241">
        <f t="shared" si="131"/>
        <v>3000</v>
      </c>
      <c r="R115" s="245">
        <v>3000</v>
      </c>
      <c r="S115" s="245"/>
      <c r="T115" s="245"/>
      <c r="U115" s="245"/>
      <c r="V115" s="245"/>
      <c r="W115" s="245"/>
      <c r="X115" s="241">
        <f t="shared" si="132"/>
        <v>3000</v>
      </c>
      <c r="Z115" s="245">
        <v>3000</v>
      </c>
      <c r="AA115" s="245"/>
      <c r="AB115" s="245"/>
      <c r="AC115" s="245"/>
      <c r="AD115" s="245"/>
      <c r="AE115" s="245"/>
      <c r="AF115" s="241">
        <f t="shared" si="133"/>
        <v>3000</v>
      </c>
      <c r="AH115" s="245">
        <v>3000</v>
      </c>
      <c r="AI115" s="245"/>
      <c r="AJ115" s="245"/>
      <c r="AK115" s="245"/>
      <c r="AL115" s="245"/>
      <c r="AM115" s="245"/>
      <c r="AN115" s="241">
        <f t="shared" si="134"/>
        <v>3000</v>
      </c>
      <c r="AP115" s="245">
        <v>0</v>
      </c>
      <c r="AQ115" s="245"/>
      <c r="AR115" s="245"/>
      <c r="AS115" s="245"/>
      <c r="AT115" s="245"/>
      <c r="AU115" s="245"/>
      <c r="AV115" s="241">
        <f t="shared" si="135"/>
        <v>0</v>
      </c>
      <c r="AX115" s="245">
        <v>0</v>
      </c>
      <c r="AY115" s="245"/>
      <c r="AZ115" s="245"/>
      <c r="BA115" s="245"/>
      <c r="BB115" s="245"/>
      <c r="BC115" s="245"/>
      <c r="BD115" s="241">
        <f t="shared" si="136"/>
        <v>0</v>
      </c>
      <c r="BF115" s="282"/>
      <c r="BG115" s="282"/>
      <c r="BH115" s="282"/>
      <c r="BI115" s="282"/>
      <c r="BJ115" s="282"/>
      <c r="BK115" s="282"/>
      <c r="BL115" s="241">
        <f t="shared" si="137"/>
        <v>0</v>
      </c>
      <c r="BN115" s="241">
        <f t="shared" si="169"/>
        <v>15000</v>
      </c>
      <c r="BO115" s="241">
        <f t="shared" si="159"/>
        <v>0</v>
      </c>
      <c r="BP115" s="241">
        <f t="shared" si="159"/>
        <v>0</v>
      </c>
      <c r="BQ115" s="241">
        <f t="shared" si="159"/>
        <v>0</v>
      </c>
      <c r="BR115" s="241">
        <f t="shared" si="159"/>
        <v>0</v>
      </c>
      <c r="BS115" s="241">
        <f t="shared" si="159"/>
        <v>0</v>
      </c>
      <c r="BT115" s="241">
        <f t="shared" si="160"/>
        <v>15000</v>
      </c>
    </row>
    <row r="116" spans="1:72" x14ac:dyDescent="0.25">
      <c r="A116" s="207" t="s">
        <v>330</v>
      </c>
      <c r="B116" s="258">
        <f>SUM(B110:B115)</f>
        <v>467855.16470073251</v>
      </c>
      <c r="C116" s="258">
        <f t="shared" ref="C116:H116" si="186">SUM(C110:C115)</f>
        <v>97578.486378156245</v>
      </c>
      <c r="D116" s="258">
        <f t="shared" si="186"/>
        <v>38827.18</v>
      </c>
      <c r="E116" s="258">
        <f t="shared" si="186"/>
        <v>0</v>
      </c>
      <c r="F116" s="258">
        <f t="shared" si="186"/>
        <v>0</v>
      </c>
      <c r="G116" s="258">
        <f t="shared" si="186"/>
        <v>0</v>
      </c>
      <c r="H116" s="258">
        <f t="shared" si="186"/>
        <v>604260.83107888873</v>
      </c>
      <c r="J116" s="258">
        <f>SUM(J110:J115)</f>
        <v>1639525.1714794491</v>
      </c>
      <c r="K116" s="258">
        <f t="shared" ref="K116:P116" si="187">SUM(K110:K115)</f>
        <v>142346.891695978</v>
      </c>
      <c r="L116" s="258">
        <f t="shared" si="187"/>
        <v>106297.27499999999</v>
      </c>
      <c r="M116" s="258">
        <f t="shared" si="187"/>
        <v>0</v>
      </c>
      <c r="N116" s="258">
        <f t="shared" si="187"/>
        <v>0</v>
      </c>
      <c r="O116" s="258">
        <f t="shared" si="187"/>
        <v>0</v>
      </c>
      <c r="P116" s="258">
        <f t="shared" si="187"/>
        <v>1888169.3381754272</v>
      </c>
      <c r="R116" s="258">
        <f>SUM(R110:R115)</f>
        <v>602651.55681742064</v>
      </c>
      <c r="S116" s="258">
        <f t="shared" ref="S116:X116" si="188">SUM(S110:S115)</f>
        <v>72407.963813742477</v>
      </c>
      <c r="T116" s="258">
        <f t="shared" si="188"/>
        <v>40945.275000000001</v>
      </c>
      <c r="U116" s="258">
        <f t="shared" si="188"/>
        <v>0</v>
      </c>
      <c r="V116" s="258">
        <f t="shared" si="188"/>
        <v>0</v>
      </c>
      <c r="W116" s="258">
        <f t="shared" si="188"/>
        <v>0</v>
      </c>
      <c r="X116" s="258">
        <f t="shared" si="188"/>
        <v>716004.79563116306</v>
      </c>
      <c r="Z116" s="258">
        <f>SUM(Z110:Z115)</f>
        <v>514703.37681834912</v>
      </c>
      <c r="AA116" s="258">
        <f t="shared" ref="AA116:AF116" si="189">SUM(AA110:AA115)</f>
        <v>109517.00136941196</v>
      </c>
      <c r="AB116" s="258">
        <f t="shared" si="189"/>
        <v>38528.74</v>
      </c>
      <c r="AC116" s="258">
        <f t="shared" si="189"/>
        <v>0</v>
      </c>
      <c r="AD116" s="258">
        <f t="shared" si="189"/>
        <v>0</v>
      </c>
      <c r="AE116" s="258">
        <f t="shared" si="189"/>
        <v>0</v>
      </c>
      <c r="AF116" s="258">
        <f t="shared" si="189"/>
        <v>662749.11818776105</v>
      </c>
      <c r="AH116" s="258">
        <f>SUM(AH110:AH115)</f>
        <v>1335564.021519748</v>
      </c>
      <c r="AI116" s="258">
        <f t="shared" ref="AI116:AN116" si="190">SUM(AI110:AI115)</f>
        <v>57032.798890577506</v>
      </c>
      <c r="AJ116" s="258">
        <f t="shared" si="190"/>
        <v>65567.540000000008</v>
      </c>
      <c r="AK116" s="258">
        <f t="shared" si="190"/>
        <v>0</v>
      </c>
      <c r="AL116" s="258">
        <f t="shared" si="190"/>
        <v>0</v>
      </c>
      <c r="AM116" s="258">
        <f t="shared" si="190"/>
        <v>0</v>
      </c>
      <c r="AN116" s="258">
        <f t="shared" si="190"/>
        <v>1458164.3604103257</v>
      </c>
      <c r="AP116" s="258">
        <f>SUM(AP110:AP115)</f>
        <v>360052.53226952505</v>
      </c>
      <c r="AQ116" s="258">
        <f t="shared" ref="AQ116:AV116" si="191">SUM(AQ110:AQ115)</f>
        <v>42882.342574374998</v>
      </c>
      <c r="AR116" s="258">
        <f t="shared" si="191"/>
        <v>18592.879999999997</v>
      </c>
      <c r="AS116" s="258">
        <f t="shared" si="191"/>
        <v>0</v>
      </c>
      <c r="AT116" s="258">
        <f t="shared" si="191"/>
        <v>0</v>
      </c>
      <c r="AU116" s="258">
        <f t="shared" si="191"/>
        <v>0</v>
      </c>
      <c r="AV116" s="258">
        <f t="shared" si="191"/>
        <v>421527.7548439001</v>
      </c>
      <c r="AX116" s="258">
        <f>SUM(AX110:AX115)</f>
        <v>0</v>
      </c>
      <c r="AY116" s="258">
        <f t="shared" ref="AY116:BD116" si="192">SUM(AY110:AY115)</f>
        <v>0</v>
      </c>
      <c r="AZ116" s="258">
        <f t="shared" si="192"/>
        <v>0</v>
      </c>
      <c r="BA116" s="258">
        <f t="shared" si="192"/>
        <v>0</v>
      </c>
      <c r="BB116" s="258">
        <f t="shared" si="192"/>
        <v>0</v>
      </c>
      <c r="BC116" s="258">
        <f t="shared" si="192"/>
        <v>0</v>
      </c>
      <c r="BD116" s="258">
        <f t="shared" si="192"/>
        <v>0</v>
      </c>
      <c r="BF116" s="258">
        <f>SUM(BF110:BF115)</f>
        <v>161313.71052751876</v>
      </c>
      <c r="BG116" s="258">
        <f t="shared" ref="BG116:BL116" si="193">SUM(BG110:BG115)</f>
        <v>0</v>
      </c>
      <c r="BH116" s="258">
        <f t="shared" si="193"/>
        <v>13549.25</v>
      </c>
      <c r="BI116" s="258">
        <f t="shared" si="193"/>
        <v>0</v>
      </c>
      <c r="BJ116" s="258">
        <f t="shared" si="193"/>
        <v>0</v>
      </c>
      <c r="BK116" s="258">
        <f t="shared" si="193"/>
        <v>0</v>
      </c>
      <c r="BL116" s="258">
        <f t="shared" si="193"/>
        <v>174862.96052751876</v>
      </c>
      <c r="BN116" s="258">
        <f>SUM(BN110:BN115)</f>
        <v>5081665.5341327433</v>
      </c>
      <c r="BO116" s="258">
        <f t="shared" ref="BO116:BT116" si="194">SUM(BO110:BO115)</f>
        <v>521765.48472224118</v>
      </c>
      <c r="BP116" s="258">
        <f t="shared" si="194"/>
        <v>322308.14</v>
      </c>
      <c r="BQ116" s="258">
        <f t="shared" si="194"/>
        <v>0</v>
      </c>
      <c r="BR116" s="258">
        <f t="shared" si="194"/>
        <v>0</v>
      </c>
      <c r="BS116" s="258">
        <f t="shared" si="194"/>
        <v>0</v>
      </c>
      <c r="BT116" s="258">
        <f t="shared" si="194"/>
        <v>5925739.1588549847</v>
      </c>
    </row>
    <row r="117" spans="1:72" x14ac:dyDescent="0.25">
      <c r="B117" s="259"/>
      <c r="C117" s="259"/>
      <c r="D117" s="259"/>
      <c r="E117" s="259"/>
      <c r="F117" s="259"/>
      <c r="G117" s="259"/>
      <c r="H117" s="259"/>
    </row>
    <row r="118" spans="1:72" x14ac:dyDescent="0.25">
      <c r="A118" s="208" t="s">
        <v>331</v>
      </c>
      <c r="B118" s="260" t="s">
        <v>309</v>
      </c>
      <c r="C118" s="260" t="s">
        <v>310</v>
      </c>
      <c r="D118" s="260" t="s">
        <v>311</v>
      </c>
      <c r="E118" s="260" t="str">
        <f>E91</f>
        <v>Other</v>
      </c>
      <c r="F118" s="260" t="s">
        <v>315</v>
      </c>
      <c r="G118" s="260" t="s">
        <v>314</v>
      </c>
      <c r="H118" s="261" t="str">
        <f>H91</f>
        <v>Horizon</v>
      </c>
      <c r="J118" s="260" t="s">
        <v>309</v>
      </c>
      <c r="K118" s="260" t="s">
        <v>310</v>
      </c>
      <c r="L118" s="260" t="s">
        <v>311</v>
      </c>
      <c r="M118" s="260" t="str">
        <f>M91</f>
        <v>Other</v>
      </c>
      <c r="N118" s="260" t="s">
        <v>315</v>
      </c>
      <c r="O118" s="260" t="s">
        <v>314</v>
      </c>
      <c r="P118" s="261" t="str">
        <f>P91</f>
        <v>Cadence</v>
      </c>
      <c r="R118" s="260" t="s">
        <v>309</v>
      </c>
      <c r="S118" s="260" t="s">
        <v>310</v>
      </c>
      <c r="T118" s="260" t="s">
        <v>311</v>
      </c>
      <c r="U118" s="260" t="str">
        <f>U91</f>
        <v>Other</v>
      </c>
      <c r="V118" s="260" t="s">
        <v>315</v>
      </c>
      <c r="W118" s="260" t="s">
        <v>314</v>
      </c>
      <c r="X118" s="261" t="str">
        <f>X91</f>
        <v>St. Rose</v>
      </c>
      <c r="Z118" s="260" t="s">
        <v>309</v>
      </c>
      <c r="AA118" s="260" t="s">
        <v>310</v>
      </c>
      <c r="AB118" s="260" t="s">
        <v>311</v>
      </c>
      <c r="AC118" s="260" t="str">
        <f>AC91</f>
        <v>Other</v>
      </c>
      <c r="AD118" s="260" t="s">
        <v>315</v>
      </c>
      <c r="AE118" s="260" t="s">
        <v>314</v>
      </c>
      <c r="AF118" s="261" t="str">
        <f>AF91</f>
        <v>Inspirada</v>
      </c>
      <c r="AH118" s="260" t="s">
        <v>309</v>
      </c>
      <c r="AI118" s="260" t="s">
        <v>310</v>
      </c>
      <c r="AJ118" s="260" t="s">
        <v>311</v>
      </c>
      <c r="AK118" s="260" t="str">
        <f>AK91</f>
        <v>Other</v>
      </c>
      <c r="AL118" s="260" t="s">
        <v>315</v>
      </c>
      <c r="AM118" s="260" t="s">
        <v>314</v>
      </c>
      <c r="AN118" s="261" t="str">
        <f>AN91</f>
        <v>Sloan</v>
      </c>
      <c r="AP118" s="260" t="s">
        <v>309</v>
      </c>
      <c r="AQ118" s="260" t="s">
        <v>310</v>
      </c>
      <c r="AR118" s="260" t="s">
        <v>311</v>
      </c>
      <c r="AS118" s="260" t="str">
        <f>AS91</f>
        <v>Other</v>
      </c>
      <c r="AT118" s="260" t="s">
        <v>315</v>
      </c>
      <c r="AU118" s="260" t="s">
        <v>314</v>
      </c>
      <c r="AV118" s="261" t="str">
        <f>AV91</f>
        <v>Springs</v>
      </c>
      <c r="AX118" s="260" t="s">
        <v>309</v>
      </c>
      <c r="AY118" s="260" t="s">
        <v>310</v>
      </c>
      <c r="AZ118" s="260" t="s">
        <v>311</v>
      </c>
      <c r="BA118" s="260" t="str">
        <f>BA91</f>
        <v>Other</v>
      </c>
      <c r="BB118" s="260" t="s">
        <v>315</v>
      </c>
      <c r="BC118" s="260" t="s">
        <v>314</v>
      </c>
      <c r="BD118" s="261" t="str">
        <f>BD91</f>
        <v>Virtual</v>
      </c>
      <c r="BF118" s="260" t="s">
        <v>309</v>
      </c>
      <c r="BG118" s="260" t="s">
        <v>310</v>
      </c>
      <c r="BH118" s="260" t="s">
        <v>311</v>
      </c>
      <c r="BI118" s="260" t="str">
        <f>BI91</f>
        <v>Other</v>
      </c>
      <c r="BJ118" s="260" t="s">
        <v>315</v>
      </c>
      <c r="BK118" s="260" t="s">
        <v>314</v>
      </c>
      <c r="BL118" s="261" t="str">
        <f>BL91</f>
        <v>Central</v>
      </c>
      <c r="BN118" s="260" t="s">
        <v>309</v>
      </c>
      <c r="BO118" s="260" t="s">
        <v>310</v>
      </c>
      <c r="BP118" s="260" t="s">
        <v>311</v>
      </c>
      <c r="BQ118" s="260" t="str">
        <f>BQ91</f>
        <v>Other</v>
      </c>
      <c r="BR118" s="260" t="s">
        <v>315</v>
      </c>
      <c r="BS118" s="260" t="s">
        <v>314</v>
      </c>
      <c r="BT118" s="261" t="str">
        <f>BT91</f>
        <v>System</v>
      </c>
    </row>
    <row r="119" spans="1:72" x14ac:dyDescent="0.25">
      <c r="A119" s="200" t="s">
        <v>249</v>
      </c>
      <c r="B119" s="257">
        <f>84915*1.01*1.01*1.01*1.01</f>
        <v>88362.889509149987</v>
      </c>
      <c r="C119" s="257"/>
      <c r="D119" s="257"/>
      <c r="E119" s="257"/>
      <c r="F119" s="257">
        <f>65000*1.01</f>
        <v>65650</v>
      </c>
      <c r="G119" s="257"/>
      <c r="H119" s="241">
        <f t="shared" ref="H119:H131" si="195">SUM(B119:G119)</f>
        <v>154012.88950915</v>
      </c>
      <c r="J119" s="241">
        <f>(81000+75000+80000)*1.01*1.01*1.01*1.01</f>
        <v>245582.54636000004</v>
      </c>
      <c r="K119" s="241"/>
      <c r="L119" s="257"/>
      <c r="M119" s="257"/>
      <c r="N119" s="257"/>
      <c r="O119" s="257"/>
      <c r="P119" s="241">
        <f t="shared" ref="P119:P131" si="196">SUM(J119:O119)</f>
        <v>245582.54636000004</v>
      </c>
      <c r="R119" s="241">
        <f>77500*1.01*1.01*1.01*1.01</f>
        <v>80646.810775000005</v>
      </c>
      <c r="S119" s="241"/>
      <c r="T119" s="257"/>
      <c r="U119" s="257"/>
      <c r="V119" s="257">
        <v>0</v>
      </c>
      <c r="W119" s="257"/>
      <c r="X119" s="241">
        <f t="shared" ref="X119:X131" si="197">SUM(R119:W119)</f>
        <v>80646.810775000005</v>
      </c>
      <c r="Z119" s="241">
        <f>(75706+84460+88000)*1.01*1.01*1.01*1.01</f>
        <v>258242.53474566</v>
      </c>
      <c r="AA119" s="241"/>
      <c r="AB119" s="257"/>
      <c r="AC119" s="257"/>
      <c r="AD119" s="257"/>
      <c r="AE119" s="257"/>
      <c r="AF119" s="241">
        <f t="shared" ref="AF119:AF131" si="198">SUM(Z119:AE119)</f>
        <v>258242.53474566</v>
      </c>
      <c r="AH119" s="241">
        <f>(72000+74500)*1.01*1.01*1.01*1.01</f>
        <v>152448.48746499998</v>
      </c>
      <c r="AI119" s="241"/>
      <c r="AJ119" s="257"/>
      <c r="AK119" s="257"/>
      <c r="AL119" s="257">
        <v>0</v>
      </c>
      <c r="AM119" s="257"/>
      <c r="AN119" s="241">
        <f t="shared" ref="AN119:AN131" si="199">SUM(AH119:AM119)</f>
        <v>152448.48746499998</v>
      </c>
      <c r="AP119" s="241">
        <f>80000*1.01*1.01</f>
        <v>81608</v>
      </c>
      <c r="AQ119" s="241"/>
      <c r="AR119" s="257"/>
      <c r="AS119" s="257"/>
      <c r="AT119" s="257"/>
      <c r="AU119" s="257"/>
      <c r="AV119" s="241">
        <f t="shared" ref="AV119:AV131" si="200">SUM(AP119:AU119)</f>
        <v>81608</v>
      </c>
      <c r="AX119" s="241"/>
      <c r="AY119" s="241"/>
      <c r="AZ119" s="257"/>
      <c r="BA119" s="257"/>
      <c r="BB119" s="257"/>
      <c r="BC119" s="257"/>
      <c r="BD119" s="241">
        <f t="shared" ref="BD119:BD131" si="201">SUM(AX119:BC119)</f>
        <v>0</v>
      </c>
      <c r="BF119" s="257">
        <v>0</v>
      </c>
      <c r="BG119" s="257"/>
      <c r="BH119" s="257"/>
      <c r="BI119" s="257"/>
      <c r="BJ119" s="257">
        <f>(95000+1500+1000)*1.01*1.01*1.01*1.01</f>
        <v>101458.890975</v>
      </c>
      <c r="BK119" s="257"/>
      <c r="BL119" s="241">
        <f t="shared" ref="BL119:BL131" si="202">SUM(BF119:BK119)</f>
        <v>101458.890975</v>
      </c>
      <c r="BN119" s="241">
        <f>B119+J119+R119+Z119+AH119+AP119+AX119+BF119</f>
        <v>906891.26885481004</v>
      </c>
      <c r="BO119" s="241">
        <f t="shared" ref="BO119:BS124" si="203">C119+K119+S119+AA119+AI119+AQ119+AY119+BG119</f>
        <v>0</v>
      </c>
      <c r="BP119" s="241">
        <f t="shared" si="203"/>
        <v>0</v>
      </c>
      <c r="BQ119" s="241">
        <f t="shared" si="203"/>
        <v>0</v>
      </c>
      <c r="BR119" s="241">
        <f t="shared" si="203"/>
        <v>167108.89097499999</v>
      </c>
      <c r="BS119" s="241">
        <f t="shared" si="203"/>
        <v>0</v>
      </c>
      <c r="BT119" s="241">
        <f t="shared" ref="BT119:BT120" si="204">SUM(BN119:BS119)</f>
        <v>1074000.15982981</v>
      </c>
    </row>
    <row r="120" spans="1:72" x14ac:dyDescent="0.25">
      <c r="A120" s="201" t="s">
        <v>192</v>
      </c>
      <c r="B120" s="244"/>
      <c r="C120" s="244"/>
      <c r="D120" s="244"/>
      <c r="E120" s="244"/>
      <c r="F120" s="244"/>
      <c r="G120" s="244"/>
      <c r="H120" s="241">
        <f t="shared" si="195"/>
        <v>0</v>
      </c>
      <c r="J120" s="242">
        <f>75115*1.01*1.01*1.01*1.01</f>
        <v>78164.970211149994</v>
      </c>
      <c r="K120" s="242"/>
      <c r="L120" s="244"/>
      <c r="M120" s="244"/>
      <c r="N120" s="244"/>
      <c r="O120" s="244"/>
      <c r="P120" s="241">
        <f t="shared" si="196"/>
        <v>78164.970211149994</v>
      </c>
      <c r="R120" s="242"/>
      <c r="S120" s="242"/>
      <c r="T120" s="244"/>
      <c r="U120" s="244"/>
      <c r="V120" s="244"/>
      <c r="W120" s="244"/>
      <c r="X120" s="241">
        <f t="shared" si="197"/>
        <v>0</v>
      </c>
      <c r="Z120" s="242"/>
      <c r="AA120" s="242"/>
      <c r="AB120" s="244"/>
      <c r="AC120" s="244"/>
      <c r="AD120" s="244"/>
      <c r="AE120" s="244"/>
      <c r="AF120" s="241">
        <f t="shared" si="198"/>
        <v>0</v>
      </c>
      <c r="AH120" s="242"/>
      <c r="AI120" s="242"/>
      <c r="AJ120" s="244"/>
      <c r="AK120" s="244"/>
      <c r="AL120" s="244"/>
      <c r="AM120" s="244"/>
      <c r="AN120" s="241">
        <f t="shared" si="199"/>
        <v>0</v>
      </c>
      <c r="AP120" s="242">
        <f>75500*1.01*1.01*1.01*1.01</f>
        <v>78565.602755</v>
      </c>
      <c r="AQ120" s="242"/>
      <c r="AR120" s="244"/>
      <c r="AS120" s="244"/>
      <c r="AT120" s="244"/>
      <c r="AU120" s="244"/>
      <c r="AV120" s="241">
        <f t="shared" si="200"/>
        <v>78565.602755</v>
      </c>
      <c r="AX120" s="242">
        <f>95176*1.01*1.01*1.01*1.01</f>
        <v>99040.527255759996</v>
      </c>
      <c r="AY120" s="242"/>
      <c r="AZ120" s="244"/>
      <c r="BA120" s="244"/>
      <c r="BB120" s="244"/>
      <c r="BC120" s="244"/>
      <c r="BD120" s="241">
        <f t="shared" si="201"/>
        <v>99040.527255759996</v>
      </c>
      <c r="BF120" s="244"/>
      <c r="BG120" s="244"/>
      <c r="BH120" s="244"/>
      <c r="BI120" s="244"/>
      <c r="BJ120" s="244"/>
      <c r="BK120" s="244"/>
      <c r="BL120" s="241">
        <f t="shared" si="202"/>
        <v>0</v>
      </c>
      <c r="BN120" s="241">
        <f t="shared" ref="BN120:BN124" si="205">B120+J120+R120+Z120+AH120+AP120+AX120+BF120</f>
        <v>255771.10022190999</v>
      </c>
      <c r="BO120" s="241">
        <f t="shared" si="203"/>
        <v>0</v>
      </c>
      <c r="BP120" s="241">
        <f t="shared" si="203"/>
        <v>0</v>
      </c>
      <c r="BQ120" s="241">
        <f t="shared" si="203"/>
        <v>0</v>
      </c>
      <c r="BR120" s="241">
        <f t="shared" si="203"/>
        <v>0</v>
      </c>
      <c r="BS120" s="241">
        <f t="shared" si="203"/>
        <v>0</v>
      </c>
      <c r="BT120" s="241">
        <f t="shared" si="204"/>
        <v>255771.10022190999</v>
      </c>
    </row>
    <row r="121" spans="1:72" x14ac:dyDescent="0.25">
      <c r="A121" s="201" t="s">
        <v>250</v>
      </c>
      <c r="B121" s="242">
        <f>63650*B36+17500+2404</f>
        <v>2693204</v>
      </c>
      <c r="C121" s="244"/>
      <c r="D121" s="244"/>
      <c r="E121" s="244"/>
      <c r="F121" s="244"/>
      <c r="G121" s="244"/>
      <c r="H121" s="241">
        <f>SUM(B121:G121)</f>
        <v>2693204</v>
      </c>
      <c r="J121" s="242">
        <f>66100*J36+(1000*40)+20000</f>
        <v>6736100</v>
      </c>
      <c r="K121" s="242"/>
      <c r="L121" s="244"/>
      <c r="M121" s="244"/>
      <c r="N121" s="244"/>
      <c r="O121" s="244"/>
      <c r="P121" s="241">
        <f>SUM(J121:O121)</f>
        <v>6736100</v>
      </c>
      <c r="R121" s="242">
        <f>65750*R36+6218</f>
        <v>2899218</v>
      </c>
      <c r="S121" s="242"/>
      <c r="T121" s="244"/>
      <c r="U121" s="244"/>
      <c r="V121" s="244"/>
      <c r="W121" s="244"/>
      <c r="X121" s="241">
        <f>SUM(R121:W121)</f>
        <v>2899218</v>
      </c>
      <c r="Y121" s="71"/>
      <c r="Z121" s="242">
        <f>63600*Z36+7000+26000</f>
        <v>3594600</v>
      </c>
      <c r="AA121" s="242"/>
      <c r="AB121" s="244"/>
      <c r="AC121" s="244"/>
      <c r="AD121" s="244"/>
      <c r="AE121" s="244"/>
      <c r="AF121" s="241">
        <f>SUM(Z121:AE121)</f>
        <v>3594600</v>
      </c>
      <c r="AH121" s="242">
        <f>65850*AH36+(500*30)</f>
        <v>6665850</v>
      </c>
      <c r="AI121" s="242"/>
      <c r="AJ121" s="244"/>
      <c r="AK121" s="244"/>
      <c r="AL121" s="244"/>
      <c r="AM121" s="244"/>
      <c r="AN121" s="241">
        <f>SUM(AH121:AM121)</f>
        <v>6665850</v>
      </c>
      <c r="AP121" s="242">
        <f>61200*AP36</f>
        <v>2325600</v>
      </c>
      <c r="AQ121" s="242"/>
      <c r="AR121" s="244"/>
      <c r="AS121" s="244"/>
      <c r="AT121" s="244"/>
      <c r="AU121" s="244"/>
      <c r="AV121" s="241">
        <f>SUM(AP121:AU121)</f>
        <v>2325600</v>
      </c>
      <c r="AX121" s="242">
        <f>62000*AX36</f>
        <v>0</v>
      </c>
      <c r="AY121" s="242"/>
      <c r="AZ121" s="244"/>
      <c r="BA121" s="244"/>
      <c r="BB121" s="244"/>
      <c r="BC121" s="244"/>
      <c r="BD121" s="241">
        <f>SUM(AX121:BC121)</f>
        <v>0</v>
      </c>
      <c r="BF121" s="244">
        <f>(80500+1500)*1.01*1.01*1.01*1.01</f>
        <v>85329.528820000007</v>
      </c>
      <c r="BG121" s="244"/>
      <c r="BH121" s="244"/>
      <c r="BI121" s="244"/>
      <c r="BJ121" s="244"/>
      <c r="BK121" s="244"/>
      <c r="BL121" s="241">
        <f>SUM(BF121:BK121)</f>
        <v>85329.528820000007</v>
      </c>
      <c r="BN121" s="241">
        <f t="shared" si="205"/>
        <v>24999901.528820001</v>
      </c>
      <c r="BO121" s="241">
        <f t="shared" si="203"/>
        <v>0</v>
      </c>
      <c r="BP121" s="241">
        <f t="shared" si="203"/>
        <v>0</v>
      </c>
      <c r="BQ121" s="241">
        <f t="shared" si="203"/>
        <v>0</v>
      </c>
      <c r="BR121" s="241">
        <f t="shared" si="203"/>
        <v>0</v>
      </c>
      <c r="BS121" s="241">
        <f t="shared" si="203"/>
        <v>0</v>
      </c>
      <c r="BT121" s="241">
        <f>SUM(BN121:BS121)</f>
        <v>24999901.528820001</v>
      </c>
    </row>
    <row r="122" spans="1:72" x14ac:dyDescent="0.25">
      <c r="A122" s="201" t="s">
        <v>181</v>
      </c>
      <c r="B122" s="244"/>
      <c r="C122" s="244">
        <f>63650*C28</f>
        <v>318250</v>
      </c>
      <c r="D122" s="244"/>
      <c r="E122" s="244"/>
      <c r="F122" s="244"/>
      <c r="G122" s="244"/>
      <c r="H122" s="241">
        <f t="shared" si="195"/>
        <v>318250</v>
      </c>
      <c r="J122" s="242"/>
      <c r="K122" s="242">
        <f>66100*K36</f>
        <v>859300</v>
      </c>
      <c r="L122" s="244"/>
      <c r="M122" s="244"/>
      <c r="N122" s="244"/>
      <c r="O122" s="244"/>
      <c r="P122" s="241">
        <f t="shared" si="196"/>
        <v>859300</v>
      </c>
      <c r="R122" s="242"/>
      <c r="S122" s="242">
        <f>65750*S36</f>
        <v>263000</v>
      </c>
      <c r="T122" s="244"/>
      <c r="U122" s="244"/>
      <c r="V122" s="244"/>
      <c r="W122" s="244"/>
      <c r="X122" s="241">
        <f t="shared" si="197"/>
        <v>263000</v>
      </c>
      <c r="Y122" s="71"/>
      <c r="Z122" s="242"/>
      <c r="AA122" s="242">
        <f>63600*AA36</f>
        <v>318000</v>
      </c>
      <c r="AB122" s="244"/>
      <c r="AC122" s="244"/>
      <c r="AD122" s="244"/>
      <c r="AE122" s="244"/>
      <c r="AF122" s="241">
        <f t="shared" si="198"/>
        <v>318000</v>
      </c>
      <c r="AH122" s="242"/>
      <c r="AI122" s="242">
        <f>65850*AI36</f>
        <v>856050</v>
      </c>
      <c r="AJ122" s="244"/>
      <c r="AK122" s="244"/>
      <c r="AL122" s="244"/>
      <c r="AM122" s="244"/>
      <c r="AN122" s="241">
        <f t="shared" si="199"/>
        <v>856050</v>
      </c>
      <c r="AP122" s="242"/>
      <c r="AQ122" s="242">
        <f>67200*AQ36</f>
        <v>268800</v>
      </c>
      <c r="AR122" s="244"/>
      <c r="AS122" s="244"/>
      <c r="AT122" s="244"/>
      <c r="AU122" s="244"/>
      <c r="AV122" s="241">
        <f t="shared" si="200"/>
        <v>268800</v>
      </c>
      <c r="AX122" s="242"/>
      <c r="AY122" s="242">
        <f>83000*1.01*1.01*1.01*1.01</f>
        <v>86370.132830000002</v>
      </c>
      <c r="AZ122" s="244"/>
      <c r="BA122" s="244"/>
      <c r="BB122" s="244"/>
      <c r="BC122" s="244"/>
      <c r="BD122" s="241">
        <f t="shared" si="201"/>
        <v>86370.132830000002</v>
      </c>
      <c r="BF122" s="244"/>
      <c r="BG122" s="244"/>
      <c r="BH122" s="244"/>
      <c r="BI122" s="244"/>
      <c r="BJ122" s="244"/>
      <c r="BK122" s="244"/>
      <c r="BL122" s="241">
        <f t="shared" si="202"/>
        <v>0</v>
      </c>
      <c r="BN122" s="241">
        <f t="shared" si="205"/>
        <v>0</v>
      </c>
      <c r="BO122" s="241">
        <f t="shared" si="203"/>
        <v>2969770.13283</v>
      </c>
      <c r="BP122" s="241">
        <f t="shared" si="203"/>
        <v>0</v>
      </c>
      <c r="BQ122" s="241">
        <f t="shared" si="203"/>
        <v>0</v>
      </c>
      <c r="BR122" s="241">
        <f t="shared" si="203"/>
        <v>0</v>
      </c>
      <c r="BS122" s="241">
        <f t="shared" si="203"/>
        <v>0</v>
      </c>
      <c r="BT122" s="241">
        <f t="shared" ref="BT122" si="206">SUM(BN122:BS122)</f>
        <v>2969770.13283</v>
      </c>
    </row>
    <row r="123" spans="1:72" x14ac:dyDescent="0.25">
      <c r="A123" s="201" t="s">
        <v>251</v>
      </c>
      <c r="B123" s="244">
        <f>(22*7.55*180)*B50</f>
        <v>89694</v>
      </c>
      <c r="C123" s="244">
        <f>(22*8*180)*C50</f>
        <v>126720</v>
      </c>
      <c r="D123" s="244"/>
      <c r="E123" s="244">
        <f>(20.25*8*180)*E50</f>
        <v>0</v>
      </c>
      <c r="F123" s="244">
        <f>(20.75*8*180)*F50</f>
        <v>0</v>
      </c>
      <c r="G123" s="244">
        <f>(20.25*8*180)*G50</f>
        <v>0</v>
      </c>
      <c r="H123" s="241">
        <f>SUM(B123:G123)</f>
        <v>216414</v>
      </c>
      <c r="J123" s="242">
        <f>(21.75*8*180)*J50</f>
        <v>250560</v>
      </c>
      <c r="K123" s="242">
        <f>(21.75*8*180)*K50</f>
        <v>375840</v>
      </c>
      <c r="L123" s="244"/>
      <c r="M123" s="244"/>
      <c r="N123" s="244"/>
      <c r="O123" s="244">
        <f>(20.25*8*180)*O50</f>
        <v>0</v>
      </c>
      <c r="P123" s="241">
        <f>SUM(J123:O123)</f>
        <v>626400</v>
      </c>
      <c r="R123" s="242">
        <f>(22*7.5*180)*R50</f>
        <v>148500</v>
      </c>
      <c r="S123" s="242">
        <f>(22*7.5*180)*S50</f>
        <v>118800</v>
      </c>
      <c r="T123" s="244"/>
      <c r="U123" s="244"/>
      <c r="V123" s="244"/>
      <c r="W123" s="244">
        <f>(20.25*8*180)*W50</f>
        <v>0</v>
      </c>
      <c r="X123" s="241">
        <f>SUM(R123:W123)</f>
        <v>267300</v>
      </c>
      <c r="Z123" s="242">
        <f>(21*8*180)*Z50</f>
        <v>120960</v>
      </c>
      <c r="AA123" s="242">
        <f>(21*8*180)*AA50</f>
        <v>151200</v>
      </c>
      <c r="AB123" s="244"/>
      <c r="AC123" s="244"/>
      <c r="AD123" s="244"/>
      <c r="AE123" s="244">
        <f>(20.25*8*180)*AE50</f>
        <v>0</v>
      </c>
      <c r="AF123" s="241">
        <f>SUM(Z123:AE123)</f>
        <v>272160</v>
      </c>
      <c r="AH123" s="242">
        <f>(22*8*180)*AH50</f>
        <v>142560</v>
      </c>
      <c r="AI123" s="242">
        <f>(22*8*180)*AI50</f>
        <v>380160</v>
      </c>
      <c r="AJ123" s="244"/>
      <c r="AK123" s="244"/>
      <c r="AL123" s="244"/>
      <c r="AM123" s="244">
        <f>(20.25*8*180)*AM50</f>
        <v>0</v>
      </c>
      <c r="AN123" s="241">
        <f>SUM(AH123:AM123)</f>
        <v>522720</v>
      </c>
      <c r="AP123" s="242">
        <f>(22*8*180)*AP50</f>
        <v>31680</v>
      </c>
      <c r="AQ123" s="242">
        <f>(21*8*180)*AQ50</f>
        <v>120960</v>
      </c>
      <c r="AR123" s="244"/>
      <c r="AS123" s="244"/>
      <c r="AT123" s="244">
        <f>(37918+24973+40000+40000)*1.01*1.01</f>
        <v>145763.1091</v>
      </c>
      <c r="AU123" s="244">
        <f>(20.25*8*180)*AU50</f>
        <v>0</v>
      </c>
      <c r="AV123" s="241">
        <f>SUM(AP123:AU123)</f>
        <v>298403.1091</v>
      </c>
      <c r="AX123" s="242">
        <f>(22*7.5*180)*AX50+500</f>
        <v>89600</v>
      </c>
      <c r="AY123" s="242">
        <f>(22*7.5*180)*AY50+500</f>
        <v>30200</v>
      </c>
      <c r="AZ123" s="244"/>
      <c r="BA123" s="244"/>
      <c r="BB123" s="244">
        <f>21189*1.01*1.01*1.01*1.01</f>
        <v>22049.358367890003</v>
      </c>
      <c r="BC123" s="244">
        <f>(20.25*8*180)*BC50</f>
        <v>0</v>
      </c>
      <c r="BD123" s="241">
        <f>SUM(AX123:BC123)</f>
        <v>141849.35836789</v>
      </c>
      <c r="BF123" s="244"/>
      <c r="BG123" s="244"/>
      <c r="BH123" s="244"/>
      <c r="BI123" s="244"/>
      <c r="BJ123" s="244"/>
      <c r="BK123" s="244">
        <f>(20.25*8*180)*BK50</f>
        <v>0</v>
      </c>
      <c r="BL123" s="241">
        <f>SUM(BF123:BK123)</f>
        <v>0</v>
      </c>
      <c r="BN123" s="241">
        <f t="shared" si="205"/>
        <v>873554</v>
      </c>
      <c r="BO123" s="241">
        <f t="shared" si="203"/>
        <v>1303880</v>
      </c>
      <c r="BP123" s="241">
        <f t="shared" si="203"/>
        <v>0</v>
      </c>
      <c r="BQ123" s="241">
        <f t="shared" si="203"/>
        <v>0</v>
      </c>
      <c r="BR123" s="241">
        <f t="shared" si="203"/>
        <v>167812.46746789</v>
      </c>
      <c r="BS123" s="241">
        <f t="shared" si="203"/>
        <v>0</v>
      </c>
      <c r="BT123" s="241">
        <f>SUM(BN123:BS123)</f>
        <v>2345246.4674678901</v>
      </c>
    </row>
    <row r="124" spans="1:72" x14ac:dyDescent="0.25">
      <c r="A124" s="202" t="s">
        <v>209</v>
      </c>
      <c r="B124" s="245">
        <f>195*180*B59</f>
        <v>35100</v>
      </c>
      <c r="C124" s="245"/>
      <c r="D124" s="245"/>
      <c r="E124" s="245"/>
      <c r="F124" s="245"/>
      <c r="G124" s="245"/>
      <c r="H124" s="262">
        <f>SUM(B124:G124)</f>
        <v>35100</v>
      </c>
      <c r="J124" s="245">
        <f>195*180*J59</f>
        <v>105300</v>
      </c>
      <c r="K124" s="245"/>
      <c r="L124" s="245"/>
      <c r="M124" s="245"/>
      <c r="N124" s="245"/>
      <c r="O124" s="245"/>
      <c r="P124" s="262">
        <f>SUM(J124:O124)</f>
        <v>105300</v>
      </c>
      <c r="R124" s="245">
        <f>195*180*R59</f>
        <v>35100</v>
      </c>
      <c r="S124" s="245"/>
      <c r="T124" s="245"/>
      <c r="U124" s="245"/>
      <c r="V124" s="245"/>
      <c r="W124" s="245"/>
      <c r="X124" s="262">
        <f>SUM(R124:W124)</f>
        <v>35100</v>
      </c>
      <c r="Z124" s="245">
        <f>195*180*Z59</f>
        <v>70200</v>
      </c>
      <c r="AA124" s="245"/>
      <c r="AB124" s="245"/>
      <c r="AC124" s="245"/>
      <c r="AD124" s="245"/>
      <c r="AE124" s="245"/>
      <c r="AF124" s="262">
        <f>SUM(Z124:AE124)</f>
        <v>70200</v>
      </c>
      <c r="AH124" s="245">
        <f>195*180*AH59</f>
        <v>140400</v>
      </c>
      <c r="AI124" s="245"/>
      <c r="AJ124" s="245"/>
      <c r="AK124" s="245"/>
      <c r="AL124" s="245"/>
      <c r="AM124" s="245"/>
      <c r="AN124" s="262">
        <f>SUM(AH124:AM124)</f>
        <v>140400</v>
      </c>
      <c r="AP124" s="245">
        <f>175*180*AP59</f>
        <v>0</v>
      </c>
      <c r="AQ124" s="245"/>
      <c r="AR124" s="245"/>
      <c r="AS124" s="245"/>
      <c r="AT124" s="245"/>
      <c r="AU124" s="245"/>
      <c r="AV124" s="262">
        <f>SUM(AP124:AU124)</f>
        <v>0</v>
      </c>
      <c r="AX124" s="245">
        <f>175*180*AX59</f>
        <v>0</v>
      </c>
      <c r="AY124" s="245"/>
      <c r="AZ124" s="245"/>
      <c r="BA124" s="245"/>
      <c r="BB124" s="245"/>
      <c r="BC124" s="245"/>
      <c r="BD124" s="262">
        <f>SUM(AX124:BC124)</f>
        <v>0</v>
      </c>
      <c r="BF124" s="245"/>
      <c r="BG124" s="245"/>
      <c r="BH124" s="245"/>
      <c r="BI124" s="245"/>
      <c r="BJ124" s="245"/>
      <c r="BK124" s="245"/>
      <c r="BL124" s="262">
        <f>SUM(BF124:BK124)</f>
        <v>0</v>
      </c>
      <c r="BN124" s="241">
        <f t="shared" si="205"/>
        <v>386100</v>
      </c>
      <c r="BO124" s="241">
        <f t="shared" si="203"/>
        <v>0</v>
      </c>
      <c r="BP124" s="241">
        <f t="shared" si="203"/>
        <v>0</v>
      </c>
      <c r="BQ124" s="241">
        <f t="shared" si="203"/>
        <v>0</v>
      </c>
      <c r="BR124" s="241">
        <f t="shared" si="203"/>
        <v>0</v>
      </c>
      <c r="BS124" s="241">
        <f t="shared" si="203"/>
        <v>0</v>
      </c>
      <c r="BT124" s="262">
        <f>SUM(BN124:BS124)</f>
        <v>386100</v>
      </c>
    </row>
    <row r="125" spans="1:72" x14ac:dyDescent="0.25">
      <c r="A125" s="207" t="s">
        <v>332</v>
      </c>
      <c r="B125" s="258">
        <f t="shared" ref="B125:H125" si="207">SUM(B119:B124)</f>
        <v>2906360.8895091498</v>
      </c>
      <c r="C125" s="258">
        <f t="shared" si="207"/>
        <v>444970</v>
      </c>
      <c r="D125" s="258">
        <f t="shared" si="207"/>
        <v>0</v>
      </c>
      <c r="E125" s="258">
        <f t="shared" si="207"/>
        <v>0</v>
      </c>
      <c r="F125" s="258">
        <f t="shared" si="207"/>
        <v>65650</v>
      </c>
      <c r="G125" s="258">
        <f t="shared" si="207"/>
        <v>0</v>
      </c>
      <c r="H125" s="258">
        <f t="shared" si="207"/>
        <v>3416980.8895091498</v>
      </c>
      <c r="J125" s="258">
        <f t="shared" ref="J125:P125" si="208">SUM(J119:J124)</f>
        <v>7415707.5165711502</v>
      </c>
      <c r="K125" s="258">
        <f t="shared" si="208"/>
        <v>1235140</v>
      </c>
      <c r="L125" s="258">
        <f t="shared" si="208"/>
        <v>0</v>
      </c>
      <c r="M125" s="258">
        <f t="shared" si="208"/>
        <v>0</v>
      </c>
      <c r="N125" s="258">
        <f t="shared" si="208"/>
        <v>0</v>
      </c>
      <c r="O125" s="258">
        <f t="shared" si="208"/>
        <v>0</v>
      </c>
      <c r="P125" s="258">
        <f t="shared" si="208"/>
        <v>8650847.5165711492</v>
      </c>
      <c r="R125" s="258">
        <f t="shared" ref="R125:X125" si="209">SUM(R119:R124)</f>
        <v>3163464.8107750001</v>
      </c>
      <c r="S125" s="258">
        <f t="shared" si="209"/>
        <v>381800</v>
      </c>
      <c r="T125" s="258">
        <f t="shared" si="209"/>
        <v>0</v>
      </c>
      <c r="U125" s="258">
        <f t="shared" si="209"/>
        <v>0</v>
      </c>
      <c r="V125" s="258">
        <f t="shared" si="209"/>
        <v>0</v>
      </c>
      <c r="W125" s="258">
        <f t="shared" si="209"/>
        <v>0</v>
      </c>
      <c r="X125" s="258">
        <f t="shared" si="209"/>
        <v>3545264.8107750001</v>
      </c>
      <c r="Z125" s="258">
        <f t="shared" ref="Z125:AF125" si="210">SUM(Z119:Z124)</f>
        <v>4044002.5347456601</v>
      </c>
      <c r="AA125" s="258">
        <f t="shared" si="210"/>
        <v>469200</v>
      </c>
      <c r="AB125" s="258">
        <f t="shared" si="210"/>
        <v>0</v>
      </c>
      <c r="AC125" s="258">
        <f t="shared" si="210"/>
        <v>0</v>
      </c>
      <c r="AD125" s="258">
        <f t="shared" si="210"/>
        <v>0</v>
      </c>
      <c r="AE125" s="258">
        <f t="shared" si="210"/>
        <v>0</v>
      </c>
      <c r="AF125" s="258">
        <f t="shared" si="210"/>
        <v>4513202.5347456597</v>
      </c>
      <c r="AH125" s="258">
        <f t="shared" ref="AH125:AN125" si="211">SUM(AH119:AH124)</f>
        <v>7101258.4874649998</v>
      </c>
      <c r="AI125" s="258">
        <f t="shared" si="211"/>
        <v>1236210</v>
      </c>
      <c r="AJ125" s="258">
        <f t="shared" si="211"/>
        <v>0</v>
      </c>
      <c r="AK125" s="258">
        <f t="shared" si="211"/>
        <v>0</v>
      </c>
      <c r="AL125" s="258">
        <f t="shared" si="211"/>
        <v>0</v>
      </c>
      <c r="AM125" s="258">
        <f t="shared" si="211"/>
        <v>0</v>
      </c>
      <c r="AN125" s="258">
        <f t="shared" si="211"/>
        <v>8337468.4874649998</v>
      </c>
      <c r="AP125" s="258">
        <f t="shared" ref="AP125:AV125" si="212">SUM(AP119:AP124)</f>
        <v>2517453.6027549999</v>
      </c>
      <c r="AQ125" s="258">
        <f t="shared" si="212"/>
        <v>389760</v>
      </c>
      <c r="AR125" s="258">
        <f t="shared" si="212"/>
        <v>0</v>
      </c>
      <c r="AS125" s="258">
        <f t="shared" si="212"/>
        <v>0</v>
      </c>
      <c r="AT125" s="258">
        <f t="shared" si="212"/>
        <v>145763.1091</v>
      </c>
      <c r="AU125" s="258">
        <f t="shared" si="212"/>
        <v>0</v>
      </c>
      <c r="AV125" s="258">
        <f t="shared" si="212"/>
        <v>3052976.7118549999</v>
      </c>
      <c r="AX125" s="258">
        <f t="shared" ref="AX125:BD125" si="213">SUM(AX119:AX124)</f>
        <v>188640.52725575998</v>
      </c>
      <c r="AY125" s="258">
        <f t="shared" si="213"/>
        <v>116570.13283</v>
      </c>
      <c r="AZ125" s="258">
        <f t="shared" si="213"/>
        <v>0</v>
      </c>
      <c r="BA125" s="258">
        <f t="shared" si="213"/>
        <v>0</v>
      </c>
      <c r="BB125" s="258">
        <f t="shared" si="213"/>
        <v>22049.358367890003</v>
      </c>
      <c r="BC125" s="258">
        <f t="shared" si="213"/>
        <v>0</v>
      </c>
      <c r="BD125" s="258">
        <f t="shared" si="213"/>
        <v>327260.01845365</v>
      </c>
      <c r="BF125" s="258">
        <f t="shared" ref="BF125:BL125" si="214">SUM(BF119:BF124)</f>
        <v>85329.528820000007</v>
      </c>
      <c r="BG125" s="258">
        <f t="shared" si="214"/>
        <v>0</v>
      </c>
      <c r="BH125" s="258">
        <f t="shared" si="214"/>
        <v>0</v>
      </c>
      <c r="BI125" s="258">
        <f t="shared" si="214"/>
        <v>0</v>
      </c>
      <c r="BJ125" s="258">
        <f t="shared" si="214"/>
        <v>101458.890975</v>
      </c>
      <c r="BK125" s="258">
        <f t="shared" si="214"/>
        <v>0</v>
      </c>
      <c r="BL125" s="258">
        <f t="shared" si="214"/>
        <v>186788.41979499999</v>
      </c>
      <c r="BN125" s="258">
        <f t="shared" ref="BN125:BT125" si="215">SUM(BN119:BN124)</f>
        <v>27422217.897896722</v>
      </c>
      <c r="BO125" s="258">
        <f t="shared" si="215"/>
        <v>4273650.1328299996</v>
      </c>
      <c r="BP125" s="258">
        <f t="shared" si="215"/>
        <v>0</v>
      </c>
      <c r="BQ125" s="258">
        <f t="shared" si="215"/>
        <v>0</v>
      </c>
      <c r="BR125" s="258">
        <f t="shared" si="215"/>
        <v>334921.35844288999</v>
      </c>
      <c r="BS125" s="258">
        <f t="shared" si="215"/>
        <v>0</v>
      </c>
      <c r="BT125" s="258">
        <f t="shared" si="215"/>
        <v>32030789.389169611</v>
      </c>
    </row>
    <row r="126" spans="1:72" x14ac:dyDescent="0.25">
      <c r="A126" s="200" t="s">
        <v>373</v>
      </c>
      <c r="B126" s="257">
        <f>B125*0.3875</f>
        <v>1126214.8446847955</v>
      </c>
      <c r="C126" s="257">
        <f t="shared" ref="C126:G126" si="216">C125*0.3875</f>
        <v>172425.875</v>
      </c>
      <c r="D126" s="257">
        <f t="shared" si="216"/>
        <v>0</v>
      </c>
      <c r="E126" s="257">
        <f t="shared" si="216"/>
        <v>0</v>
      </c>
      <c r="F126" s="257">
        <f t="shared" si="216"/>
        <v>25439.375</v>
      </c>
      <c r="G126" s="257">
        <f t="shared" si="216"/>
        <v>0</v>
      </c>
      <c r="H126" s="241">
        <f t="shared" si="195"/>
        <v>1324080.0946847955</v>
      </c>
      <c r="J126" s="257">
        <f>J125*0.3875</f>
        <v>2873586.6626713206</v>
      </c>
      <c r="K126" s="257">
        <f t="shared" ref="K126:O126" si="217">K125*0.3875</f>
        <v>478616.75</v>
      </c>
      <c r="L126" s="257">
        <f t="shared" si="217"/>
        <v>0</v>
      </c>
      <c r="M126" s="257">
        <f t="shared" si="217"/>
        <v>0</v>
      </c>
      <c r="N126" s="257">
        <f t="shared" si="217"/>
        <v>0</v>
      </c>
      <c r="O126" s="257">
        <f t="shared" si="217"/>
        <v>0</v>
      </c>
      <c r="P126" s="241">
        <f t="shared" si="196"/>
        <v>3352203.4126713206</v>
      </c>
      <c r="R126" s="257">
        <f>R125*0.3875</f>
        <v>1225842.6141753127</v>
      </c>
      <c r="S126" s="257">
        <f t="shared" ref="S126:W126" si="218">S125*0.3875</f>
        <v>147947.5</v>
      </c>
      <c r="T126" s="257">
        <f t="shared" si="218"/>
        <v>0</v>
      </c>
      <c r="U126" s="257">
        <f t="shared" si="218"/>
        <v>0</v>
      </c>
      <c r="V126" s="257">
        <f t="shared" si="218"/>
        <v>0</v>
      </c>
      <c r="W126" s="257">
        <f t="shared" si="218"/>
        <v>0</v>
      </c>
      <c r="X126" s="241">
        <f t="shared" si="197"/>
        <v>1373790.1141753127</v>
      </c>
      <c r="Z126" s="257">
        <f>Z125*0.3875</f>
        <v>1567050.9822139433</v>
      </c>
      <c r="AA126" s="257">
        <f t="shared" ref="AA126:AE126" si="219">AA125*0.3875</f>
        <v>181815</v>
      </c>
      <c r="AB126" s="257">
        <f t="shared" si="219"/>
        <v>0</v>
      </c>
      <c r="AC126" s="257">
        <f t="shared" si="219"/>
        <v>0</v>
      </c>
      <c r="AD126" s="257">
        <f t="shared" si="219"/>
        <v>0</v>
      </c>
      <c r="AE126" s="257">
        <f t="shared" si="219"/>
        <v>0</v>
      </c>
      <c r="AF126" s="241">
        <f t="shared" si="198"/>
        <v>1748865.9822139433</v>
      </c>
      <c r="AH126" s="257">
        <f>AH125*0.3875</f>
        <v>2751737.6638926873</v>
      </c>
      <c r="AI126" s="257">
        <f t="shared" ref="AI126:AM126" si="220">AI125*0.3875</f>
        <v>479031.375</v>
      </c>
      <c r="AJ126" s="257">
        <f t="shared" si="220"/>
        <v>0</v>
      </c>
      <c r="AK126" s="257">
        <f t="shared" si="220"/>
        <v>0</v>
      </c>
      <c r="AL126" s="257">
        <f t="shared" si="220"/>
        <v>0</v>
      </c>
      <c r="AM126" s="257">
        <f t="shared" si="220"/>
        <v>0</v>
      </c>
      <c r="AN126" s="241">
        <f t="shared" si="199"/>
        <v>3230769.0388926873</v>
      </c>
      <c r="AP126" s="257">
        <f>AP125*0.3875</f>
        <v>975513.27106756251</v>
      </c>
      <c r="AQ126" s="257">
        <f t="shared" ref="AQ126:AU126" si="221">AQ125*0.3875</f>
        <v>151032</v>
      </c>
      <c r="AR126" s="257">
        <f t="shared" si="221"/>
        <v>0</v>
      </c>
      <c r="AS126" s="257">
        <f t="shared" si="221"/>
        <v>0</v>
      </c>
      <c r="AT126" s="257">
        <f t="shared" si="221"/>
        <v>56483.204776250001</v>
      </c>
      <c r="AU126" s="257">
        <f t="shared" si="221"/>
        <v>0</v>
      </c>
      <c r="AV126" s="241">
        <f t="shared" si="200"/>
        <v>1183028.4758438126</v>
      </c>
      <c r="AX126" s="257">
        <f>AX125*0.3875</f>
        <v>73098.204311606998</v>
      </c>
      <c r="AY126" s="257">
        <f t="shared" ref="AY126:BC126" si="222">AY125*0.3875</f>
        <v>45170.926471625004</v>
      </c>
      <c r="AZ126" s="257">
        <f t="shared" si="222"/>
        <v>0</v>
      </c>
      <c r="BA126" s="257">
        <f t="shared" si="222"/>
        <v>0</v>
      </c>
      <c r="BB126" s="257">
        <f t="shared" si="222"/>
        <v>8544.1263675573773</v>
      </c>
      <c r="BC126" s="257">
        <f t="shared" si="222"/>
        <v>0</v>
      </c>
      <c r="BD126" s="241">
        <f t="shared" si="201"/>
        <v>126813.25715078937</v>
      </c>
      <c r="BF126" s="257">
        <f>BF125*0.3875</f>
        <v>33065.192417750004</v>
      </c>
      <c r="BG126" s="257">
        <f t="shared" ref="BG126:BK126" si="223">BG125*0.3875</f>
        <v>0</v>
      </c>
      <c r="BH126" s="257">
        <f t="shared" si="223"/>
        <v>0</v>
      </c>
      <c r="BI126" s="257">
        <f t="shared" si="223"/>
        <v>0</v>
      </c>
      <c r="BJ126" s="257">
        <f t="shared" si="223"/>
        <v>39315.320252812504</v>
      </c>
      <c r="BK126" s="257">
        <f t="shared" si="223"/>
        <v>0</v>
      </c>
      <c r="BL126" s="241">
        <f t="shared" si="202"/>
        <v>72380.512670562515</v>
      </c>
      <c r="BN126" s="241">
        <f>B126+J126+R126+Z126+AH126+AP126+AX126+BF126</f>
        <v>10626109.435434978</v>
      </c>
      <c r="BO126" s="241">
        <f t="shared" ref="BO126:BS131" si="224">C126+K126+S126+AA126+AI126+AQ126+AY126+BG126</f>
        <v>1656039.426471625</v>
      </c>
      <c r="BP126" s="241">
        <f t="shared" si="224"/>
        <v>0</v>
      </c>
      <c r="BQ126" s="241">
        <f t="shared" si="224"/>
        <v>0</v>
      </c>
      <c r="BR126" s="241">
        <f t="shared" si="224"/>
        <v>129782.02639661988</v>
      </c>
      <c r="BS126" s="241">
        <f t="shared" si="224"/>
        <v>0</v>
      </c>
      <c r="BT126" s="241">
        <f t="shared" ref="BT126:BT127" si="225">SUM(BN126:BS126)</f>
        <v>12411930.888303222</v>
      </c>
    </row>
    <row r="127" spans="1:72" x14ac:dyDescent="0.25">
      <c r="A127" s="201" t="s">
        <v>244</v>
      </c>
      <c r="B127" s="242">
        <f>(((10985*(B63*0.825))+((230*(B63*0.85))+((90*(B63*0.825))+(B63*70)+(B125*0.015)+(B125*0.03)))))</f>
        <v>563295.49002791173</v>
      </c>
      <c r="C127" s="242">
        <f t="shared" ref="C127:G127" si="226">(((10985*(C63*0.825))+((230*(C63*0.85))+((90*(C63*0.825))+(C63*70)+(C125*0.015)+(C125*0.03)))))</f>
        <v>104645.02499999999</v>
      </c>
      <c r="D127" s="242">
        <f t="shared" si="226"/>
        <v>0</v>
      </c>
      <c r="E127" s="242">
        <f t="shared" si="226"/>
        <v>0</v>
      </c>
      <c r="F127" s="242">
        <f t="shared" si="226"/>
        <v>12356.625</v>
      </c>
      <c r="G127" s="242">
        <f t="shared" si="226"/>
        <v>0</v>
      </c>
      <c r="H127" s="241">
        <f t="shared" si="195"/>
        <v>680297.14002791175</v>
      </c>
      <c r="J127" s="242">
        <f>(((10985*(J63*0.85))+((230*(J63*0.85))+((90*(J63*0.825))+(J63*70)+(J125*0.015)+(J125*0.03)))))</f>
        <v>1427207.8382457017</v>
      </c>
      <c r="K127" s="242">
        <f t="shared" ref="K127:O127" si="227">(((10985*(K63*0.85))+((230*(K63*0.85))+((90*(K63*0.825))+(K63*70)+(K125*0.015)+(K125*0.03)))))</f>
        <v>297506.3</v>
      </c>
      <c r="L127" s="242">
        <f t="shared" si="227"/>
        <v>0</v>
      </c>
      <c r="M127" s="242">
        <f t="shared" si="227"/>
        <v>0</v>
      </c>
      <c r="N127" s="242">
        <f t="shared" si="227"/>
        <v>0</v>
      </c>
      <c r="O127" s="242">
        <f t="shared" si="227"/>
        <v>0</v>
      </c>
      <c r="P127" s="241">
        <f t="shared" si="196"/>
        <v>1724714.1382457018</v>
      </c>
      <c r="R127" s="242">
        <f>(((10985*(R63*0.835))+((230*(R63*0.85))+((90*(R63*0.825))+(R63*70)+(R125*0.015)+(R125*0.03)))))</f>
        <v>617967.16648487502</v>
      </c>
      <c r="S127" s="242">
        <f t="shared" ref="S127:W127" si="228">(((10985*(S63*0.835))+((230*(S63*0.85))+((90*(S63*0.825))+(S63*70)+(S125*0.015)+(S125*0.03)))))</f>
        <v>93278.8</v>
      </c>
      <c r="T127" s="242">
        <f t="shared" si="228"/>
        <v>0</v>
      </c>
      <c r="U127" s="242">
        <f t="shared" si="228"/>
        <v>0</v>
      </c>
      <c r="V127" s="242">
        <f t="shared" si="228"/>
        <v>0</v>
      </c>
      <c r="W127" s="242">
        <f t="shared" si="228"/>
        <v>0</v>
      </c>
      <c r="X127" s="241">
        <f t="shared" si="197"/>
        <v>711245.96648487507</v>
      </c>
      <c r="Z127" s="242">
        <f>(((10985*(Z63*0.85))+((230*(Z63*0.85))+((90*(Z63*0.825))+(Z63*70)+(Z125*0.015)+(Z125*0.03)))))</f>
        <v>791631.11406355468</v>
      </c>
      <c r="AA127" s="242">
        <f t="shared" ref="AA127:AE127" si="229">(((10985*(AA63*0.85))+((230*(AA63*0.85))+((90*(AA63*0.825))+(AA63*70)+(AA125*0.015)+(AA125*0.03)))))</f>
        <v>117884</v>
      </c>
      <c r="AB127" s="242">
        <f t="shared" si="229"/>
        <v>0</v>
      </c>
      <c r="AC127" s="242">
        <f t="shared" si="229"/>
        <v>0</v>
      </c>
      <c r="AD127" s="242">
        <f t="shared" si="229"/>
        <v>0</v>
      </c>
      <c r="AE127" s="242">
        <f t="shared" si="229"/>
        <v>0</v>
      </c>
      <c r="AF127" s="241">
        <f t="shared" si="198"/>
        <v>909515.11406355468</v>
      </c>
      <c r="AH127" s="242">
        <f>(((10985*(AH63*0.85))+((230*(AH63*0.85))+((90*(AH63*0.825))+(AH63*70)+(AH125*0.015)+(AH125*0.03)))))</f>
        <v>1359834.131935925</v>
      </c>
      <c r="AI127" s="242">
        <f t="shared" ref="AI127:AM127" si="230">(((10985*(AI63*0.85))+((230*(AI63*0.85))+((90*(AI63*0.825))+(AI63*70)+(AI125*0.015)+(AI125*0.03)))))</f>
        <v>297554.45</v>
      </c>
      <c r="AJ127" s="242">
        <f t="shared" si="230"/>
        <v>0</v>
      </c>
      <c r="AK127" s="242">
        <f t="shared" si="230"/>
        <v>0</v>
      </c>
      <c r="AL127" s="242">
        <f t="shared" si="230"/>
        <v>0</v>
      </c>
      <c r="AM127" s="242">
        <f t="shared" si="230"/>
        <v>0</v>
      </c>
      <c r="AN127" s="241">
        <f t="shared" si="199"/>
        <v>1657388.5819359249</v>
      </c>
      <c r="AP127" s="242">
        <f>(((10985*(AP63*0.8))+((230*(AP63*0.85))+((90*(AP63*0.825))+(AP63*70)+(AP125*0.015)+(AP125*0.03)))))</f>
        <v>487523.16212397505</v>
      </c>
      <c r="AQ127" s="242">
        <f t="shared" ref="AQ127:AU127" si="231">(((10985*(AQ63*0.8))+((230*(AQ63*0.85))+((90*(AQ63*0.825))+(AQ63*70)+(AQ125*0.015)+(AQ125*0.03)))))</f>
        <v>90561.2</v>
      </c>
      <c r="AR127" s="242">
        <f t="shared" si="231"/>
        <v>0</v>
      </c>
      <c r="AS127" s="242">
        <f t="shared" si="231"/>
        <v>0</v>
      </c>
      <c r="AT127" s="242">
        <f t="shared" si="231"/>
        <v>43070.339909499999</v>
      </c>
      <c r="AU127" s="242">
        <f t="shared" si="231"/>
        <v>0</v>
      </c>
      <c r="AV127" s="241">
        <f t="shared" si="200"/>
        <v>621154.70203347504</v>
      </c>
      <c r="AX127" s="244">
        <f>(((10985*(AX63*0.85))+((230*(AX63*0.85))+((90*(AX63*0.825))+(AX63*70)+(AX125*0.015)+(AX125*0.03)))))</f>
        <v>47196.823726509203</v>
      </c>
      <c r="AY127" s="244">
        <f t="shared" ref="AY127:BC127" si="232">(((10985*(AY63*0.85))+((230*(AY63*0.85))+((90*(AY63*0.825))+(AY63*70)+(AY125*0.015)+(AY125*0.03)))))</f>
        <v>24599.655977349998</v>
      </c>
      <c r="AZ127" s="244">
        <f t="shared" si="232"/>
        <v>0</v>
      </c>
      <c r="BA127" s="244">
        <f t="shared" si="232"/>
        <v>0</v>
      </c>
      <c r="BB127" s="244">
        <f t="shared" si="232"/>
        <v>10669.22112655505</v>
      </c>
      <c r="BC127" s="244">
        <f t="shared" si="232"/>
        <v>0</v>
      </c>
      <c r="BD127" s="241">
        <f t="shared" si="201"/>
        <v>82465.700830414251</v>
      </c>
      <c r="BF127" s="244">
        <f>BF125*0.2</f>
        <v>17065.905764000003</v>
      </c>
      <c r="BG127" s="244">
        <f t="shared" ref="BG127:BK127" si="233">BG125*0.2</f>
        <v>0</v>
      </c>
      <c r="BH127" s="244">
        <f t="shared" si="233"/>
        <v>0</v>
      </c>
      <c r="BI127" s="244">
        <f t="shared" si="233"/>
        <v>0</v>
      </c>
      <c r="BJ127" s="244">
        <f t="shared" si="233"/>
        <v>20291.778195000003</v>
      </c>
      <c r="BK127" s="244">
        <f t="shared" si="233"/>
        <v>0</v>
      </c>
      <c r="BL127" s="241">
        <f t="shared" si="202"/>
        <v>37357.683959000002</v>
      </c>
      <c r="BN127" s="241">
        <f t="shared" ref="BN127:BN131" si="234">B127+J127+R127+Z127+AH127+AP127+AX127+BF127</f>
        <v>5311721.6323724519</v>
      </c>
      <c r="BO127" s="241">
        <f t="shared" si="224"/>
        <v>1026029.4309773499</v>
      </c>
      <c r="BP127" s="241">
        <f t="shared" si="224"/>
        <v>0</v>
      </c>
      <c r="BQ127" s="241">
        <f t="shared" si="224"/>
        <v>0</v>
      </c>
      <c r="BR127" s="241">
        <f t="shared" si="224"/>
        <v>86387.964231055055</v>
      </c>
      <c r="BS127" s="241">
        <f t="shared" si="224"/>
        <v>0</v>
      </c>
      <c r="BT127" s="241">
        <f t="shared" si="225"/>
        <v>6424139.0275808573</v>
      </c>
    </row>
    <row r="128" spans="1:72" x14ac:dyDescent="0.25">
      <c r="A128" s="201" t="s">
        <v>245</v>
      </c>
      <c r="B128" s="242">
        <f>(1250*B36)+((1500*(B41+B43))+(500*B50)+((1500*(B54+B55+B56))+(1250*B59)))</f>
        <v>56750</v>
      </c>
      <c r="C128" s="242">
        <f t="shared" ref="C128:G128" si="235">(1250*C36)+((1500*(C41+C43))+(500*C50)+((1500*(C54+C55+C56))+(1250*C59)))</f>
        <v>9750</v>
      </c>
      <c r="D128" s="242">
        <f t="shared" si="235"/>
        <v>0</v>
      </c>
      <c r="E128" s="242">
        <f t="shared" si="235"/>
        <v>0</v>
      </c>
      <c r="F128" s="242">
        <f t="shared" si="235"/>
        <v>1500</v>
      </c>
      <c r="G128" s="242">
        <f t="shared" si="235"/>
        <v>0</v>
      </c>
      <c r="H128" s="241">
        <f t="shared" si="195"/>
        <v>68000</v>
      </c>
      <c r="J128" s="242">
        <f>(1250*J36)+((1500*(J41+J43))+(500*J50)+((1500*(J54+J55+J56))+(1250*J59)))</f>
        <v>140000</v>
      </c>
      <c r="K128" s="242">
        <f>(1250*K36)+((1500*(K41+K43))+(500*K50)+((1500*(K54+K55+K56))+(1250*K59)))+(3*1000)</f>
        <v>29750</v>
      </c>
      <c r="L128" s="242">
        <f t="shared" ref="L128:O128" si="236">(1250*L36)+((1500*(L41+L43))+(500*L50)+((1500*(L54+L55+L56))+(1250*L59)))</f>
        <v>0</v>
      </c>
      <c r="M128" s="242">
        <f t="shared" si="236"/>
        <v>0</v>
      </c>
      <c r="N128" s="242">
        <f t="shared" si="236"/>
        <v>0</v>
      </c>
      <c r="O128" s="242">
        <f t="shared" si="236"/>
        <v>0</v>
      </c>
      <c r="P128" s="241">
        <f t="shared" si="196"/>
        <v>169750</v>
      </c>
      <c r="R128" s="242">
        <f>(1250*R36)+((1500*(R41+R43))+(500*R50)+((1500*(R54+R55+R56))+(1250*R59)))</f>
        <v>60250</v>
      </c>
      <c r="S128" s="242">
        <f t="shared" ref="S128:W128" si="237">(1250*S36)+((1500*(S41+S43))+(500*S50)+((1500*(S54+S55+S56))+(1250*S59)))</f>
        <v>9250</v>
      </c>
      <c r="T128" s="242">
        <f t="shared" si="237"/>
        <v>0</v>
      </c>
      <c r="U128" s="242">
        <f t="shared" si="237"/>
        <v>0</v>
      </c>
      <c r="V128" s="242">
        <f t="shared" si="237"/>
        <v>0</v>
      </c>
      <c r="W128" s="242">
        <f t="shared" si="237"/>
        <v>0</v>
      </c>
      <c r="X128" s="241">
        <f t="shared" si="197"/>
        <v>69500</v>
      </c>
      <c r="Z128" s="242">
        <f>(1250*Z36)+((1500*(Z41+Z43))+(500*Z50)+((1500*(Z54+Z55+Z56))+(1250*Z59)))</f>
        <v>79000</v>
      </c>
      <c r="AA128" s="242">
        <f t="shared" ref="AA128:AE128" si="238">(1250*AA36)+((1500*(AA41+AA43))+(500*AA50)+((1500*(AA54+AA55+AA56))+(1250*AA59)))</f>
        <v>12500</v>
      </c>
      <c r="AB128" s="242">
        <f t="shared" si="238"/>
        <v>0</v>
      </c>
      <c r="AC128" s="242">
        <f t="shared" si="238"/>
        <v>0</v>
      </c>
      <c r="AD128" s="242">
        <f t="shared" si="238"/>
        <v>0</v>
      </c>
      <c r="AE128" s="242">
        <f t="shared" si="238"/>
        <v>0</v>
      </c>
      <c r="AF128" s="241">
        <f t="shared" si="198"/>
        <v>91500</v>
      </c>
      <c r="AH128" s="242">
        <f>(1250*AH36)+((1500*(AH41+AH43))+(500*AH50)+((1500*(AH54+AH55+AH56))+(1250*AH59)))</f>
        <v>136500</v>
      </c>
      <c r="AI128" s="242">
        <f t="shared" ref="AI128:AM128" si="239">(1250*AI36)+((1500*(AI41+AI43))+(500*AI50)+((1500*(AI54+AI55+AI56))+(1250*AI59)))</f>
        <v>23750</v>
      </c>
      <c r="AJ128" s="242">
        <f t="shared" si="239"/>
        <v>0</v>
      </c>
      <c r="AK128" s="242">
        <f t="shared" si="239"/>
        <v>0</v>
      </c>
      <c r="AL128" s="242">
        <f t="shared" si="239"/>
        <v>0</v>
      </c>
      <c r="AM128" s="242">
        <f t="shared" si="239"/>
        <v>0</v>
      </c>
      <c r="AN128" s="241">
        <f t="shared" si="199"/>
        <v>160250</v>
      </c>
      <c r="AP128" s="242">
        <f>(1250*AP36)+((1500*(AP41+AP43))+(500*AP50)+((1500*(AP54+AP55+AP56))+(1250*AP59)))</f>
        <v>51000</v>
      </c>
      <c r="AQ128" s="242">
        <f t="shared" ref="AQ128:AU128" si="240">(1250*AQ36)+((1500*(AQ41+AQ43))+(500*AQ50)+((1500*(AQ54+AQ55+AQ56))+(1250*AQ59)))</f>
        <v>8500</v>
      </c>
      <c r="AR128" s="242">
        <f t="shared" si="240"/>
        <v>0</v>
      </c>
      <c r="AS128" s="242">
        <f t="shared" si="240"/>
        <v>0</v>
      </c>
      <c r="AT128" s="242">
        <f t="shared" si="240"/>
        <v>2000</v>
      </c>
      <c r="AU128" s="242">
        <f t="shared" si="240"/>
        <v>0</v>
      </c>
      <c r="AV128" s="241">
        <f t="shared" si="200"/>
        <v>61500</v>
      </c>
      <c r="AX128" s="242">
        <f>(1250*AX36)+((1500*(AX41+AX43))+(500*AX50)+((1500*(AX54+AX55+AX56))+(1250*AX59)))</f>
        <v>3000</v>
      </c>
      <c r="AY128" s="242">
        <f t="shared" ref="AY128:BC128" si="241">(1250*AY36)+((1500*(AY41+AY43))+(500*AY50)+((1500*(AY54+AY55+AY56))+(1250*AY59)))</f>
        <v>1750</v>
      </c>
      <c r="AZ128" s="242">
        <f t="shared" si="241"/>
        <v>0</v>
      </c>
      <c r="BA128" s="242">
        <f t="shared" si="241"/>
        <v>0</v>
      </c>
      <c r="BB128" s="242">
        <f t="shared" si="241"/>
        <v>500</v>
      </c>
      <c r="BC128" s="242">
        <f t="shared" si="241"/>
        <v>0</v>
      </c>
      <c r="BD128" s="241">
        <f t="shared" si="201"/>
        <v>5250</v>
      </c>
      <c r="BF128" s="242">
        <f>(1250*BF36)+((1500*(BF41+BF43))+(500*BF50)+((1500*(BF54+BF55+BF56))+(1250*BF59)))</f>
        <v>1250</v>
      </c>
      <c r="BG128" s="242">
        <f t="shared" ref="BG128:BK128" si="242">(1250*BG36)+((1500*(BG41+BG43))+(500*BG50)+((1500*(BG54+BG55+BG56))+(1250*BG59)))</f>
        <v>0</v>
      </c>
      <c r="BH128" s="242">
        <f t="shared" si="242"/>
        <v>0</v>
      </c>
      <c r="BI128" s="242">
        <f t="shared" si="242"/>
        <v>0</v>
      </c>
      <c r="BJ128" s="242">
        <f t="shared" si="242"/>
        <v>1500</v>
      </c>
      <c r="BK128" s="242">
        <f t="shared" si="242"/>
        <v>0</v>
      </c>
      <c r="BL128" s="241">
        <f t="shared" ref="BL128:BL129" si="243">SUM(BF128:BK128)</f>
        <v>2750</v>
      </c>
      <c r="BN128" s="241">
        <f t="shared" si="234"/>
        <v>527750</v>
      </c>
      <c r="BO128" s="241">
        <f t="shared" si="224"/>
        <v>95250</v>
      </c>
      <c r="BP128" s="241">
        <f t="shared" si="224"/>
        <v>0</v>
      </c>
      <c r="BQ128" s="241">
        <f t="shared" si="224"/>
        <v>0</v>
      </c>
      <c r="BR128" s="241">
        <f t="shared" si="224"/>
        <v>5500</v>
      </c>
      <c r="BS128" s="241">
        <f t="shared" si="224"/>
        <v>0</v>
      </c>
      <c r="BT128" s="241">
        <f t="shared" ref="BT128:BT129" si="244">SUM(BN128:BS128)</f>
        <v>628500</v>
      </c>
    </row>
    <row r="129" spans="1:72" x14ac:dyDescent="0.25">
      <c r="A129" s="201" t="s">
        <v>246</v>
      </c>
      <c r="B129" s="242">
        <f>(175*B36)+((175*(B41+B43))+(75*B50)+((175*(B54+B55+B56))+(1250*B59)))*1.09</f>
        <v>9148.5</v>
      </c>
      <c r="C129" s="242">
        <f t="shared" ref="C129:G129" si="245">(175*C36)+((175*(C41+C43))+(75*C50)+((175*(C54+C55+C56))+(1250*C59)))*1.09</f>
        <v>1392.75</v>
      </c>
      <c r="D129" s="242">
        <f t="shared" si="245"/>
        <v>0</v>
      </c>
      <c r="E129" s="242">
        <f t="shared" si="245"/>
        <v>0</v>
      </c>
      <c r="F129" s="242">
        <f t="shared" si="245"/>
        <v>190.75</v>
      </c>
      <c r="G129" s="242">
        <f t="shared" si="245"/>
        <v>0</v>
      </c>
      <c r="H129" s="241">
        <f t="shared" si="195"/>
        <v>10732</v>
      </c>
      <c r="J129" s="242">
        <f>(175*J36)+((175*(J41+J43))+(75*J50)+((175*(J54+J55+J56))+(1250*J59)))*1.09</f>
        <v>23179.5</v>
      </c>
      <c r="K129" s="242">
        <f t="shared" ref="K129:O129" si="246">(175*K36)+((175*(K41+K43))+(75*K50)+((175*(K54+K55+K56))+(1250*K59)))*1.09</f>
        <v>3828.25</v>
      </c>
      <c r="L129" s="242">
        <f t="shared" si="246"/>
        <v>0</v>
      </c>
      <c r="M129" s="242">
        <f t="shared" si="246"/>
        <v>0</v>
      </c>
      <c r="N129" s="242">
        <f t="shared" si="246"/>
        <v>0</v>
      </c>
      <c r="O129" s="242">
        <f t="shared" si="246"/>
        <v>0</v>
      </c>
      <c r="P129" s="241">
        <f t="shared" si="196"/>
        <v>27007.75</v>
      </c>
      <c r="R129" s="242">
        <f>(175*R36)+((175*(R41+R43))+(75*R50)+((175*(R54+R55+R56))+(1250*R59)))*1.09</f>
        <v>9662</v>
      </c>
      <c r="S129" s="242">
        <f t="shared" ref="S129:W129" si="247">(175*S36)+((175*(S41+S43))+(75*S50)+((175*(S54+S55+S56))+(1250*S59)))*1.09</f>
        <v>1313.125</v>
      </c>
      <c r="T129" s="242">
        <f t="shared" si="247"/>
        <v>0</v>
      </c>
      <c r="U129" s="242">
        <f t="shared" si="247"/>
        <v>0</v>
      </c>
      <c r="V129" s="242">
        <f t="shared" si="247"/>
        <v>0</v>
      </c>
      <c r="W129" s="242">
        <f t="shared" si="247"/>
        <v>0</v>
      </c>
      <c r="X129" s="241">
        <f t="shared" si="197"/>
        <v>10975.125</v>
      </c>
      <c r="Z129" s="242">
        <f>(175*Z36)+((175*(Z41+Z43))+(75*Z50)+((175*(Z54+Z55+Z56))+(1250*Z59)))*1.09</f>
        <v>13424.25</v>
      </c>
      <c r="AA129" s="242">
        <f t="shared" ref="AA129:AE129" si="248">(175*AA36)+((175*(AA41+AA43))+(75*AA50)+((175*(AA54+AA55+AA56))+(1250*AA59)))*1.09</f>
        <v>1760.625</v>
      </c>
      <c r="AB129" s="242">
        <f t="shared" si="248"/>
        <v>0</v>
      </c>
      <c r="AC129" s="242">
        <f t="shared" si="248"/>
        <v>0</v>
      </c>
      <c r="AD129" s="242">
        <f t="shared" si="248"/>
        <v>0</v>
      </c>
      <c r="AE129" s="242">
        <f t="shared" si="248"/>
        <v>0</v>
      </c>
      <c r="AF129" s="241">
        <f t="shared" si="198"/>
        <v>15184.875</v>
      </c>
      <c r="AH129" s="242">
        <f>(175*AH36)+((175*(AH41+AH43))+(75*AH50)+((175*(AH54+AH55+AH56))+(1250*AH59)))*1.09</f>
        <v>23874.375</v>
      </c>
      <c r="AI129" s="242">
        <f t="shared" ref="AI129:AM129" si="249">(175*AI36)+((175*(AI41+AI43))+(75*AI50)+((175*(AI54+AI55+AI56))+(1250*AI59)))*1.09</f>
        <v>3446.75</v>
      </c>
      <c r="AJ129" s="242">
        <f t="shared" si="249"/>
        <v>0</v>
      </c>
      <c r="AK129" s="242">
        <f t="shared" si="249"/>
        <v>0</v>
      </c>
      <c r="AL129" s="242">
        <f t="shared" si="249"/>
        <v>0</v>
      </c>
      <c r="AM129" s="242">
        <f t="shared" si="249"/>
        <v>0</v>
      </c>
      <c r="AN129" s="241">
        <f t="shared" si="199"/>
        <v>27321.125</v>
      </c>
      <c r="AP129" s="242">
        <f>(175*AP36)+((175*(AP41+AP43))+(75*AP50)+((175*(AP54+AP55+AP56))+(1250*AP59)))*1.09</f>
        <v>7113.25</v>
      </c>
      <c r="AQ129" s="242">
        <f t="shared" ref="AQ129:AU129" si="250">(175*AQ36)+((175*(AQ41+AQ43))+(75*AQ50)+((175*(AQ54+AQ55+AQ56))+(1250*AQ59)))*1.09</f>
        <v>1217.75</v>
      </c>
      <c r="AR129" s="242">
        <f t="shared" si="250"/>
        <v>0</v>
      </c>
      <c r="AS129" s="242">
        <f t="shared" si="250"/>
        <v>0</v>
      </c>
      <c r="AT129" s="242">
        <f t="shared" si="250"/>
        <v>327</v>
      </c>
      <c r="AU129" s="242">
        <f t="shared" si="250"/>
        <v>0</v>
      </c>
      <c r="AV129" s="241">
        <f t="shared" si="200"/>
        <v>8658</v>
      </c>
      <c r="AX129" s="242">
        <f>(175*AX36)+((175*(AX41+AX43))+(75*AX50)+((175*(AX54+AX55+AX56))+(1250*AX59)))*1.09</f>
        <v>436.00000000000006</v>
      </c>
      <c r="AY129" s="242">
        <f t="shared" ref="AY129:BC129" si="251">(175*AY36)+((175*(AY41+AY43))+(75*AY50)+((175*(AY54+AY55+AY56))+(1250*AY59)))*1.09</f>
        <v>256.75</v>
      </c>
      <c r="AZ129" s="242">
        <f t="shared" si="251"/>
        <v>0</v>
      </c>
      <c r="BA129" s="242">
        <f t="shared" si="251"/>
        <v>0</v>
      </c>
      <c r="BB129" s="242">
        <f t="shared" si="251"/>
        <v>81.75</v>
      </c>
      <c r="BC129" s="242">
        <f t="shared" si="251"/>
        <v>0</v>
      </c>
      <c r="BD129" s="241">
        <f t="shared" si="201"/>
        <v>774.5</v>
      </c>
      <c r="BF129" s="242">
        <f>(175*BF36)+((175*(BF41+BF43))+(75*BF50)+((175*(BF54+BF55+BF56))+(1250*BF59)))*1.09</f>
        <v>175</v>
      </c>
      <c r="BG129" s="242">
        <f t="shared" ref="BG129:BK129" si="252">(175*BG36)+((175*(BG41+BG43))+(75*BG50)+((175*(BG54+BG55+BG56))+(1250*BG59)))*1.09</f>
        <v>0</v>
      </c>
      <c r="BH129" s="242">
        <f t="shared" si="252"/>
        <v>0</v>
      </c>
      <c r="BI129" s="242">
        <f t="shared" si="252"/>
        <v>0</v>
      </c>
      <c r="BJ129" s="242">
        <f t="shared" si="252"/>
        <v>190.75</v>
      </c>
      <c r="BK129" s="242">
        <f t="shared" si="252"/>
        <v>0</v>
      </c>
      <c r="BL129" s="241">
        <f t="shared" si="243"/>
        <v>365.75</v>
      </c>
      <c r="BN129" s="241">
        <f t="shared" si="234"/>
        <v>87012.875</v>
      </c>
      <c r="BO129" s="241">
        <f t="shared" si="224"/>
        <v>13216</v>
      </c>
      <c r="BP129" s="241">
        <f t="shared" si="224"/>
        <v>0</v>
      </c>
      <c r="BQ129" s="241">
        <f t="shared" si="224"/>
        <v>0</v>
      </c>
      <c r="BR129" s="241">
        <f t="shared" si="224"/>
        <v>790.25</v>
      </c>
      <c r="BS129" s="241">
        <f t="shared" si="224"/>
        <v>0</v>
      </c>
      <c r="BT129" s="241">
        <f t="shared" si="244"/>
        <v>101019.125</v>
      </c>
    </row>
    <row r="130" spans="1:72" x14ac:dyDescent="0.25">
      <c r="A130" s="201" t="s">
        <v>247</v>
      </c>
      <c r="B130" s="244"/>
      <c r="C130" s="244"/>
      <c r="D130" s="244"/>
      <c r="E130" s="244"/>
      <c r="F130" s="244"/>
      <c r="G130" s="244"/>
      <c r="H130" s="241">
        <f t="shared" si="195"/>
        <v>0</v>
      </c>
      <c r="J130" s="244">
        <v>0</v>
      </c>
      <c r="K130" s="244"/>
      <c r="L130" s="244"/>
      <c r="M130" s="244"/>
      <c r="N130" s="244">
        <v>0</v>
      </c>
      <c r="O130" s="244"/>
      <c r="P130" s="241">
        <f t="shared" si="196"/>
        <v>0</v>
      </c>
      <c r="R130" s="244">
        <v>0</v>
      </c>
      <c r="S130" s="244"/>
      <c r="T130" s="244"/>
      <c r="U130" s="244"/>
      <c r="V130" s="244">
        <v>0</v>
      </c>
      <c r="W130" s="244"/>
      <c r="X130" s="241">
        <f t="shared" si="197"/>
        <v>0</v>
      </c>
      <c r="Z130" s="244">
        <v>0</v>
      </c>
      <c r="AA130" s="244"/>
      <c r="AB130" s="244"/>
      <c r="AC130" s="244"/>
      <c r="AD130" s="244">
        <v>0</v>
      </c>
      <c r="AE130" s="244"/>
      <c r="AF130" s="241">
        <f t="shared" si="198"/>
        <v>0</v>
      </c>
      <c r="AH130" s="244">
        <v>0</v>
      </c>
      <c r="AI130" s="244"/>
      <c r="AJ130" s="244"/>
      <c r="AK130" s="244"/>
      <c r="AL130" s="244">
        <v>0</v>
      </c>
      <c r="AM130" s="244"/>
      <c r="AN130" s="241">
        <f t="shared" si="199"/>
        <v>0</v>
      </c>
      <c r="AP130" s="279">
        <v>2500</v>
      </c>
      <c r="AQ130" s="244"/>
      <c r="AR130" s="244"/>
      <c r="AS130" s="244"/>
      <c r="AT130" s="244">
        <v>0</v>
      </c>
      <c r="AU130" s="244"/>
      <c r="AV130" s="241">
        <f t="shared" si="200"/>
        <v>2500</v>
      </c>
      <c r="AX130" s="244">
        <f>(140*(AX17+10)*12)+6000+15000+7000</f>
        <v>350560</v>
      </c>
      <c r="AY130" s="244">
        <v>22000</v>
      </c>
      <c r="AZ130" s="244"/>
      <c r="BA130" s="244"/>
      <c r="BB130" s="244">
        <v>0</v>
      </c>
      <c r="BC130" s="244"/>
      <c r="BD130" s="241">
        <f t="shared" si="201"/>
        <v>372560</v>
      </c>
      <c r="BF130" s="244"/>
      <c r="BG130" s="244"/>
      <c r="BH130" s="244"/>
      <c r="BI130" s="244"/>
      <c r="BJ130" s="244"/>
      <c r="BK130" s="244"/>
      <c r="BL130" s="241">
        <f t="shared" si="202"/>
        <v>0</v>
      </c>
      <c r="BN130" s="241">
        <f t="shared" si="234"/>
        <v>353060</v>
      </c>
      <c r="BO130" s="241">
        <f t="shared" si="224"/>
        <v>22000</v>
      </c>
      <c r="BP130" s="241">
        <f t="shared" si="224"/>
        <v>0</v>
      </c>
      <c r="BQ130" s="241">
        <f t="shared" si="224"/>
        <v>0</v>
      </c>
      <c r="BR130" s="241">
        <f t="shared" si="224"/>
        <v>0</v>
      </c>
      <c r="BS130" s="241">
        <f t="shared" si="224"/>
        <v>0</v>
      </c>
      <c r="BT130" s="241">
        <f t="shared" ref="BT130:BT131" si="253">SUM(BN130:BS130)</f>
        <v>375060</v>
      </c>
    </row>
    <row r="131" spans="1:72" x14ac:dyDescent="0.25">
      <c r="A131" s="202" t="s">
        <v>248</v>
      </c>
      <c r="B131" s="245">
        <v>10000</v>
      </c>
      <c r="C131" s="245"/>
      <c r="D131" s="245"/>
      <c r="E131" s="245"/>
      <c r="F131" s="245"/>
      <c r="G131" s="245"/>
      <c r="H131" s="262">
        <f t="shared" si="195"/>
        <v>10000</v>
      </c>
      <c r="J131" s="245">
        <v>15000</v>
      </c>
      <c r="K131" s="245"/>
      <c r="L131" s="245"/>
      <c r="M131" s="245"/>
      <c r="N131" s="245"/>
      <c r="O131" s="245"/>
      <c r="P131" s="262">
        <f t="shared" si="196"/>
        <v>15000</v>
      </c>
      <c r="R131" s="245">
        <v>15000</v>
      </c>
      <c r="S131" s="245"/>
      <c r="T131" s="245"/>
      <c r="U131" s="245"/>
      <c r="V131" s="245"/>
      <c r="W131" s="245"/>
      <c r="X131" s="262">
        <f t="shared" si="197"/>
        <v>15000</v>
      </c>
      <c r="Z131" s="245">
        <v>15000</v>
      </c>
      <c r="AA131" s="245"/>
      <c r="AB131" s="245"/>
      <c r="AC131" s="245"/>
      <c r="AD131" s="245"/>
      <c r="AE131" s="245"/>
      <c r="AF131" s="262">
        <f t="shared" si="198"/>
        <v>15000</v>
      </c>
      <c r="AH131" s="245">
        <v>15000</v>
      </c>
      <c r="AI131" s="245"/>
      <c r="AJ131" s="245"/>
      <c r="AK131" s="245"/>
      <c r="AL131" s="245"/>
      <c r="AM131" s="245"/>
      <c r="AN131" s="262">
        <f t="shared" si="199"/>
        <v>15000</v>
      </c>
      <c r="AP131" s="245">
        <v>3000</v>
      </c>
      <c r="AQ131" s="245"/>
      <c r="AR131" s="245"/>
      <c r="AS131" s="245"/>
      <c r="AT131" s="245"/>
      <c r="AU131" s="245"/>
      <c r="AV131" s="262">
        <f t="shared" si="200"/>
        <v>3000</v>
      </c>
      <c r="AX131" s="245">
        <v>2000</v>
      </c>
      <c r="AY131" s="245"/>
      <c r="AZ131" s="245"/>
      <c r="BA131" s="245"/>
      <c r="BB131" s="245"/>
      <c r="BC131" s="245"/>
      <c r="BD131" s="262">
        <f t="shared" si="201"/>
        <v>2000</v>
      </c>
      <c r="BF131" s="245"/>
      <c r="BG131" s="245"/>
      <c r="BH131" s="245"/>
      <c r="BI131" s="245"/>
      <c r="BJ131" s="245"/>
      <c r="BK131" s="245"/>
      <c r="BL131" s="262">
        <f t="shared" si="202"/>
        <v>0</v>
      </c>
      <c r="BN131" s="241">
        <f t="shared" si="234"/>
        <v>75000</v>
      </c>
      <c r="BO131" s="241">
        <f t="shared" si="224"/>
        <v>0</v>
      </c>
      <c r="BP131" s="241">
        <f t="shared" si="224"/>
        <v>0</v>
      </c>
      <c r="BQ131" s="241">
        <f t="shared" si="224"/>
        <v>0</v>
      </c>
      <c r="BR131" s="241">
        <f t="shared" si="224"/>
        <v>0</v>
      </c>
      <c r="BS131" s="241">
        <f t="shared" si="224"/>
        <v>0</v>
      </c>
      <c r="BT131" s="262">
        <f t="shared" si="253"/>
        <v>75000</v>
      </c>
    </row>
    <row r="132" spans="1:72" x14ac:dyDescent="0.25">
      <c r="A132" s="207" t="s">
        <v>330</v>
      </c>
      <c r="B132" s="258">
        <f>SUM(B126:B131)</f>
        <v>1765408.8347127072</v>
      </c>
      <c r="C132" s="258">
        <f t="shared" ref="C132:H132" si="254">SUM(C126:C131)</f>
        <v>288213.65000000002</v>
      </c>
      <c r="D132" s="258">
        <f t="shared" si="254"/>
        <v>0</v>
      </c>
      <c r="E132" s="258">
        <f t="shared" si="254"/>
        <v>0</v>
      </c>
      <c r="F132" s="258">
        <f t="shared" si="254"/>
        <v>39486.75</v>
      </c>
      <c r="G132" s="258">
        <f t="shared" si="254"/>
        <v>0</v>
      </c>
      <c r="H132" s="258">
        <f t="shared" si="254"/>
        <v>2093109.2347127073</v>
      </c>
      <c r="J132" s="258">
        <f>SUM(J126:J131)</f>
        <v>4478974.0009170221</v>
      </c>
      <c r="K132" s="258">
        <f t="shared" ref="K132:P132" si="255">SUM(K126:K131)</f>
        <v>809701.3</v>
      </c>
      <c r="L132" s="258">
        <f t="shared" si="255"/>
        <v>0</v>
      </c>
      <c r="M132" s="258">
        <f t="shared" si="255"/>
        <v>0</v>
      </c>
      <c r="N132" s="258">
        <f t="shared" si="255"/>
        <v>0</v>
      </c>
      <c r="O132" s="258">
        <f t="shared" si="255"/>
        <v>0</v>
      </c>
      <c r="P132" s="258">
        <f t="shared" si="255"/>
        <v>5288675.3009170219</v>
      </c>
      <c r="R132" s="258">
        <f>SUM(R126:R131)</f>
        <v>1928721.7806601878</v>
      </c>
      <c r="S132" s="258">
        <f t="shared" ref="S132:X132" si="256">SUM(S126:S131)</f>
        <v>251789.42499999999</v>
      </c>
      <c r="T132" s="258">
        <f t="shared" si="256"/>
        <v>0</v>
      </c>
      <c r="U132" s="258">
        <f t="shared" si="256"/>
        <v>0</v>
      </c>
      <c r="V132" s="258">
        <f t="shared" si="256"/>
        <v>0</v>
      </c>
      <c r="W132" s="258">
        <f t="shared" si="256"/>
        <v>0</v>
      </c>
      <c r="X132" s="258">
        <f t="shared" si="256"/>
        <v>2180511.2056601876</v>
      </c>
      <c r="Z132" s="258">
        <f>SUM(Z126:Z131)</f>
        <v>2466106.3462774977</v>
      </c>
      <c r="AA132" s="258">
        <f t="shared" ref="AA132:AF132" si="257">SUM(AA126:AA131)</f>
        <v>313959.625</v>
      </c>
      <c r="AB132" s="258">
        <f t="shared" si="257"/>
        <v>0</v>
      </c>
      <c r="AC132" s="258">
        <f t="shared" si="257"/>
        <v>0</v>
      </c>
      <c r="AD132" s="258">
        <f t="shared" si="257"/>
        <v>0</v>
      </c>
      <c r="AE132" s="258">
        <f t="shared" si="257"/>
        <v>0</v>
      </c>
      <c r="AF132" s="258">
        <f t="shared" si="257"/>
        <v>2780065.9712774977</v>
      </c>
      <c r="AH132" s="258">
        <f>SUM(AH126:AH131)</f>
        <v>4286946.1708286125</v>
      </c>
      <c r="AI132" s="258">
        <f t="shared" ref="AI132:AN132" si="258">SUM(AI126:AI131)</f>
        <v>803782.57499999995</v>
      </c>
      <c r="AJ132" s="258">
        <f t="shared" si="258"/>
        <v>0</v>
      </c>
      <c r="AK132" s="258">
        <f t="shared" si="258"/>
        <v>0</v>
      </c>
      <c r="AL132" s="258">
        <f t="shared" si="258"/>
        <v>0</v>
      </c>
      <c r="AM132" s="258">
        <f t="shared" si="258"/>
        <v>0</v>
      </c>
      <c r="AN132" s="258">
        <f t="shared" si="258"/>
        <v>5090728.7458286118</v>
      </c>
      <c r="AP132" s="258">
        <f>SUM(AP126:AP131)</f>
        <v>1526649.6831915376</v>
      </c>
      <c r="AQ132" s="258">
        <f t="shared" ref="AQ132:AV132" si="259">SUM(AQ126:AQ131)</f>
        <v>251310.95</v>
      </c>
      <c r="AR132" s="258">
        <f t="shared" si="259"/>
        <v>0</v>
      </c>
      <c r="AS132" s="258">
        <f t="shared" si="259"/>
        <v>0</v>
      </c>
      <c r="AT132" s="258">
        <f t="shared" si="259"/>
        <v>101880.54468575001</v>
      </c>
      <c r="AU132" s="258">
        <f t="shared" si="259"/>
        <v>0</v>
      </c>
      <c r="AV132" s="258">
        <f t="shared" si="259"/>
        <v>1879841.1778772876</v>
      </c>
      <c r="AX132" s="258">
        <f>SUM(AX126:AX131)</f>
        <v>476291.02803811617</v>
      </c>
      <c r="AY132" s="258">
        <f t="shared" ref="AY132:BD132" si="260">SUM(AY126:AY131)</f>
        <v>93777.332448975008</v>
      </c>
      <c r="AZ132" s="258">
        <f t="shared" si="260"/>
        <v>0</v>
      </c>
      <c r="BA132" s="258">
        <f t="shared" si="260"/>
        <v>0</v>
      </c>
      <c r="BB132" s="258">
        <f t="shared" si="260"/>
        <v>19795.09749411243</v>
      </c>
      <c r="BC132" s="258">
        <f t="shared" si="260"/>
        <v>0</v>
      </c>
      <c r="BD132" s="258">
        <f t="shared" si="260"/>
        <v>589863.45798120368</v>
      </c>
      <c r="BF132" s="258">
        <f>SUM(BF126:BF131)</f>
        <v>51556.098181750007</v>
      </c>
      <c r="BG132" s="258">
        <f t="shared" ref="BG132:BL132" si="261">SUM(BG126:BG131)</f>
        <v>0</v>
      </c>
      <c r="BH132" s="258">
        <f t="shared" si="261"/>
        <v>0</v>
      </c>
      <c r="BI132" s="258">
        <f t="shared" si="261"/>
        <v>0</v>
      </c>
      <c r="BJ132" s="258">
        <f t="shared" si="261"/>
        <v>61297.848447812503</v>
      </c>
      <c r="BK132" s="258">
        <f t="shared" si="261"/>
        <v>0</v>
      </c>
      <c r="BL132" s="258">
        <f t="shared" si="261"/>
        <v>112853.94662956252</v>
      </c>
      <c r="BN132" s="258">
        <f>SUM(BN126:BN131)</f>
        <v>16980653.942807429</v>
      </c>
      <c r="BO132" s="258">
        <f t="shared" ref="BO132:BT132" si="262">SUM(BO126:BO131)</f>
        <v>2812534.8574489746</v>
      </c>
      <c r="BP132" s="258">
        <f t="shared" si="262"/>
        <v>0</v>
      </c>
      <c r="BQ132" s="258">
        <f t="shared" si="262"/>
        <v>0</v>
      </c>
      <c r="BR132" s="258">
        <f t="shared" si="262"/>
        <v>222460.24062767494</v>
      </c>
      <c r="BS132" s="258">
        <f t="shared" si="262"/>
        <v>0</v>
      </c>
      <c r="BT132" s="258">
        <f t="shared" si="262"/>
        <v>20015649.040884078</v>
      </c>
    </row>
    <row r="133" spans="1:72" x14ac:dyDescent="0.25">
      <c r="B133" s="263"/>
      <c r="C133" s="263"/>
      <c r="D133" s="263"/>
      <c r="E133" s="263"/>
      <c r="F133" s="263"/>
      <c r="G133" s="263"/>
      <c r="H133" s="263"/>
      <c r="J133" s="263"/>
      <c r="K133" s="263"/>
      <c r="L133" s="263"/>
      <c r="M133" s="263"/>
      <c r="N133" s="263"/>
      <c r="O133" s="263"/>
      <c r="P133" s="263"/>
      <c r="R133" s="263"/>
      <c r="S133" s="263"/>
      <c r="T133" s="263"/>
      <c r="U133" s="263"/>
      <c r="V133" s="263"/>
      <c r="W133" s="263"/>
      <c r="X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P133" s="263"/>
      <c r="AQ133" s="263"/>
      <c r="AR133" s="263"/>
      <c r="AS133" s="263"/>
      <c r="AT133" s="263"/>
      <c r="AU133" s="263"/>
      <c r="AV133" s="263"/>
      <c r="AX133" s="263"/>
      <c r="AY133" s="263"/>
      <c r="AZ133" s="263"/>
      <c r="BA133" s="263"/>
      <c r="BB133" s="263"/>
      <c r="BC133" s="263"/>
      <c r="BD133" s="263"/>
      <c r="BF133" s="263"/>
      <c r="BG133" s="263"/>
      <c r="BH133" s="263"/>
      <c r="BI133" s="263"/>
      <c r="BJ133" s="263"/>
      <c r="BK133" s="263"/>
      <c r="BL133" s="263"/>
      <c r="BN133" s="263"/>
      <c r="BO133" s="263"/>
      <c r="BP133" s="263"/>
      <c r="BQ133" s="263"/>
      <c r="BR133" s="263"/>
      <c r="BS133" s="263"/>
      <c r="BT133" s="263"/>
    </row>
    <row r="134" spans="1:72" x14ac:dyDescent="0.25">
      <c r="A134" s="208" t="s">
        <v>330</v>
      </c>
      <c r="B134" s="260" t="s">
        <v>309</v>
      </c>
      <c r="C134" s="260" t="s">
        <v>310</v>
      </c>
      <c r="D134" s="260" t="s">
        <v>311</v>
      </c>
      <c r="E134" s="260" t="str">
        <f>E118</f>
        <v>Other</v>
      </c>
      <c r="F134" s="260" t="s">
        <v>315</v>
      </c>
      <c r="G134" s="260" t="s">
        <v>314</v>
      </c>
      <c r="H134" s="260" t="str">
        <f>H118</f>
        <v>Horizon</v>
      </c>
      <c r="J134" s="260" t="s">
        <v>309</v>
      </c>
      <c r="K134" s="260" t="s">
        <v>310</v>
      </c>
      <c r="L134" s="260" t="s">
        <v>311</v>
      </c>
      <c r="M134" s="260" t="str">
        <f>M118</f>
        <v>Other</v>
      </c>
      <c r="N134" s="260" t="s">
        <v>315</v>
      </c>
      <c r="O134" s="260" t="s">
        <v>314</v>
      </c>
      <c r="P134" s="260" t="str">
        <f>P118</f>
        <v>Cadence</v>
      </c>
      <c r="R134" s="260" t="s">
        <v>309</v>
      </c>
      <c r="S134" s="260" t="s">
        <v>310</v>
      </c>
      <c r="T134" s="260" t="s">
        <v>311</v>
      </c>
      <c r="U134" s="260" t="str">
        <f>U118</f>
        <v>Other</v>
      </c>
      <c r="V134" s="260" t="s">
        <v>315</v>
      </c>
      <c r="W134" s="260" t="s">
        <v>314</v>
      </c>
      <c r="X134" s="260" t="str">
        <f>X118</f>
        <v>St. Rose</v>
      </c>
      <c r="Z134" s="260" t="s">
        <v>309</v>
      </c>
      <c r="AA134" s="260" t="s">
        <v>310</v>
      </c>
      <c r="AB134" s="260" t="s">
        <v>311</v>
      </c>
      <c r="AC134" s="260" t="str">
        <f>AC118</f>
        <v>Other</v>
      </c>
      <c r="AD134" s="260" t="s">
        <v>315</v>
      </c>
      <c r="AE134" s="260" t="s">
        <v>314</v>
      </c>
      <c r="AF134" s="260" t="str">
        <f>AF118</f>
        <v>Inspirada</v>
      </c>
      <c r="AH134" s="260" t="s">
        <v>309</v>
      </c>
      <c r="AI134" s="260" t="s">
        <v>310</v>
      </c>
      <c r="AJ134" s="260" t="s">
        <v>311</v>
      </c>
      <c r="AK134" s="260" t="str">
        <f>AK118</f>
        <v>Other</v>
      </c>
      <c r="AL134" s="260" t="s">
        <v>315</v>
      </c>
      <c r="AM134" s="260" t="s">
        <v>314</v>
      </c>
      <c r="AN134" s="260" t="str">
        <f>AN118</f>
        <v>Sloan</v>
      </c>
      <c r="AP134" s="260" t="s">
        <v>309</v>
      </c>
      <c r="AQ134" s="260" t="s">
        <v>310</v>
      </c>
      <c r="AR134" s="260" t="s">
        <v>311</v>
      </c>
      <c r="AS134" s="260" t="str">
        <f>AS118</f>
        <v>Other</v>
      </c>
      <c r="AT134" s="260" t="s">
        <v>315</v>
      </c>
      <c r="AU134" s="260" t="s">
        <v>314</v>
      </c>
      <c r="AV134" s="260" t="str">
        <f>AV118</f>
        <v>Springs</v>
      </c>
      <c r="AX134" s="260" t="s">
        <v>309</v>
      </c>
      <c r="AY134" s="260" t="s">
        <v>310</v>
      </c>
      <c r="AZ134" s="260" t="s">
        <v>311</v>
      </c>
      <c r="BA134" s="260" t="str">
        <f>BA118</f>
        <v>Other</v>
      </c>
      <c r="BB134" s="260" t="s">
        <v>315</v>
      </c>
      <c r="BC134" s="260" t="s">
        <v>314</v>
      </c>
      <c r="BD134" s="260" t="str">
        <f>BD118</f>
        <v>Virtual</v>
      </c>
      <c r="BF134" s="260" t="s">
        <v>309</v>
      </c>
      <c r="BG134" s="260" t="s">
        <v>310</v>
      </c>
      <c r="BH134" s="260" t="s">
        <v>311</v>
      </c>
      <c r="BI134" s="260" t="str">
        <f>BI118</f>
        <v>Other</v>
      </c>
      <c r="BJ134" s="260" t="s">
        <v>315</v>
      </c>
      <c r="BK134" s="260" t="s">
        <v>314</v>
      </c>
      <c r="BL134" s="260" t="str">
        <f>BL118</f>
        <v>Central</v>
      </c>
      <c r="BN134" s="260" t="s">
        <v>309</v>
      </c>
      <c r="BO134" s="260" t="s">
        <v>310</v>
      </c>
      <c r="BP134" s="260" t="s">
        <v>311</v>
      </c>
      <c r="BQ134" s="260" t="str">
        <f>BQ118</f>
        <v>Other</v>
      </c>
      <c r="BR134" s="260" t="s">
        <v>315</v>
      </c>
      <c r="BS134" s="260" t="s">
        <v>314</v>
      </c>
      <c r="BT134" s="260" t="str">
        <f>BT118</f>
        <v>System</v>
      </c>
    </row>
    <row r="135" spans="1:72" x14ac:dyDescent="0.25">
      <c r="A135" s="209" t="s">
        <v>252</v>
      </c>
      <c r="B135" s="257">
        <f>(245*950)</f>
        <v>232750</v>
      </c>
      <c r="C135" s="257"/>
      <c r="D135" s="257"/>
      <c r="E135" s="257"/>
      <c r="F135" s="257"/>
      <c r="G135" s="257"/>
      <c r="H135" s="257">
        <f>SUM(B135:G135)</f>
        <v>232750</v>
      </c>
      <c r="J135" s="257">
        <f>(245*2550)</f>
        <v>624750</v>
      </c>
      <c r="L135" s="257"/>
      <c r="M135" s="257"/>
      <c r="N135" s="257"/>
      <c r="O135" s="257"/>
      <c r="P135" s="257">
        <f>SUM(J135:O135)</f>
        <v>624750</v>
      </c>
      <c r="R135" s="257">
        <f>(245*1050)</f>
        <v>257250</v>
      </c>
      <c r="S135" s="257"/>
      <c r="T135" s="257"/>
      <c r="U135" s="257"/>
      <c r="V135" s="257"/>
      <c r="W135" s="257"/>
      <c r="X135" s="257">
        <f>SUM(R135:W135)</f>
        <v>257250</v>
      </c>
      <c r="Z135" s="257">
        <f>(245*1200)</f>
        <v>294000</v>
      </c>
      <c r="AA135" s="257"/>
      <c r="AB135" s="257"/>
      <c r="AC135" s="257"/>
      <c r="AD135" s="257"/>
      <c r="AE135" s="257"/>
      <c r="AF135" s="257">
        <f>SUM(Z135:AE135)</f>
        <v>294000</v>
      </c>
      <c r="AH135" s="257">
        <f>(245*2550)</f>
        <v>624750</v>
      </c>
      <c r="AI135" s="257"/>
      <c r="AJ135" s="257"/>
      <c r="AK135" s="257"/>
      <c r="AL135" s="257"/>
      <c r="AM135" s="257"/>
      <c r="AN135" s="257">
        <f>SUM(AH135:AM135)</f>
        <v>624750</v>
      </c>
      <c r="AP135" s="257">
        <f>(245*925)</f>
        <v>226625</v>
      </c>
      <c r="AQ135" s="257"/>
      <c r="AR135" s="257"/>
      <c r="AS135" s="257"/>
      <c r="AT135" s="257"/>
      <c r="AU135" s="257"/>
      <c r="AV135" s="257">
        <f>SUM(AP135:AU135)</f>
        <v>226625</v>
      </c>
      <c r="AX135" s="257">
        <f>(465*150)</f>
        <v>69750</v>
      </c>
      <c r="AY135" s="257"/>
      <c r="AZ135" s="257"/>
      <c r="BA135" s="257"/>
      <c r="BB135" s="257"/>
      <c r="BC135" s="257"/>
      <c r="BD135" s="257">
        <f>SUM(AX135:BC135)</f>
        <v>69750</v>
      </c>
      <c r="BF135" s="257"/>
      <c r="BG135" s="257"/>
      <c r="BH135" s="257"/>
      <c r="BI135" s="257"/>
      <c r="BJ135" s="257"/>
      <c r="BK135" s="257"/>
      <c r="BL135" s="257">
        <f>SUM(BF135:BK135)</f>
        <v>0</v>
      </c>
      <c r="BN135" s="241">
        <f>B135+J135+R135+Z135+AH135+AP135+AX135+BF135</f>
        <v>2329875</v>
      </c>
      <c r="BO135" s="241">
        <f t="shared" ref="BO135:BS140" si="263">C135+K135+S135+AA135+AI135+AQ135+AY135+BG135</f>
        <v>0</v>
      </c>
      <c r="BP135" s="241">
        <f t="shared" si="263"/>
        <v>0</v>
      </c>
      <c r="BQ135" s="241">
        <f t="shared" si="263"/>
        <v>0</v>
      </c>
      <c r="BR135" s="241">
        <f t="shared" si="263"/>
        <v>0</v>
      </c>
      <c r="BS135" s="241">
        <f t="shared" si="263"/>
        <v>0</v>
      </c>
      <c r="BT135" s="257">
        <f>SUM(BN135:BS135)</f>
        <v>2329875</v>
      </c>
    </row>
    <row r="136" spans="1:72" x14ac:dyDescent="0.25">
      <c r="A136" s="210" t="s">
        <v>253</v>
      </c>
      <c r="B136" s="244"/>
      <c r="C136" s="244"/>
      <c r="D136" s="244"/>
      <c r="E136" s="244"/>
      <c r="F136" s="244"/>
      <c r="G136" s="244"/>
      <c r="H136" s="257">
        <f t="shared" ref="H136:H140" si="264">SUM(B136:G136)</f>
        <v>0</v>
      </c>
      <c r="J136" s="244">
        <v>510000</v>
      </c>
      <c r="K136" s="244"/>
      <c r="L136" s="244"/>
      <c r="M136" s="244"/>
      <c r="N136" s="244"/>
      <c r="O136" s="244"/>
      <c r="P136" s="257">
        <f t="shared" ref="P136:P140" si="265">SUM(J136:O136)</f>
        <v>510000</v>
      </c>
      <c r="R136" s="244"/>
      <c r="S136" s="244"/>
      <c r="T136" s="244"/>
      <c r="U136" s="244"/>
      <c r="V136" s="244"/>
      <c r="W136" s="244"/>
      <c r="X136" s="257">
        <f t="shared" ref="X136:X140" si="266">SUM(R136:W136)</f>
        <v>0</v>
      </c>
      <c r="Z136" s="244"/>
      <c r="AA136" s="244"/>
      <c r="AB136" s="244"/>
      <c r="AC136" s="244"/>
      <c r="AD136" s="244"/>
      <c r="AE136" s="244"/>
      <c r="AF136" s="257">
        <f t="shared" ref="AF136:AF140" si="267">SUM(Z136:AE136)</f>
        <v>0</v>
      </c>
      <c r="AH136" s="244">
        <v>510000</v>
      </c>
      <c r="AI136" s="244"/>
      <c r="AJ136" s="244"/>
      <c r="AK136" s="244"/>
      <c r="AL136" s="244"/>
      <c r="AM136" s="244"/>
      <c r="AN136" s="257">
        <f t="shared" ref="AN136:AN140" si="268">SUM(AH136:AM136)</f>
        <v>510000</v>
      </c>
      <c r="AP136" s="244"/>
      <c r="AQ136" s="244"/>
      <c r="AR136" s="244"/>
      <c r="AS136" s="244"/>
      <c r="AT136" s="244"/>
      <c r="AU136" s="244"/>
      <c r="AV136" s="257">
        <f t="shared" ref="AV136:AV140" si="269">SUM(AP136:AU136)</f>
        <v>0</v>
      </c>
      <c r="AX136" s="244">
        <v>39000</v>
      </c>
      <c r="AY136" s="244"/>
      <c r="AZ136" s="244"/>
      <c r="BA136" s="244"/>
      <c r="BB136" s="244"/>
      <c r="BC136" s="244"/>
      <c r="BD136" s="257">
        <f t="shared" ref="BD136:BD140" si="270">SUM(AX136:BC136)</f>
        <v>39000</v>
      </c>
      <c r="BF136" s="244"/>
      <c r="BG136" s="244"/>
      <c r="BH136" s="244"/>
      <c r="BI136" s="244"/>
      <c r="BJ136" s="244"/>
      <c r="BK136" s="244"/>
      <c r="BL136" s="257">
        <f t="shared" ref="BL136:BL140" si="271">SUM(BF136:BK136)</f>
        <v>0</v>
      </c>
      <c r="BN136" s="241">
        <f t="shared" ref="BN136:BN140" si="272">B136+J136+R136+Z136+AH136+AP136+AX136+BF136</f>
        <v>1059000</v>
      </c>
      <c r="BO136" s="241">
        <f t="shared" si="263"/>
        <v>0</v>
      </c>
      <c r="BP136" s="241">
        <f t="shared" si="263"/>
        <v>0</v>
      </c>
      <c r="BQ136" s="241">
        <f t="shared" si="263"/>
        <v>0</v>
      </c>
      <c r="BR136" s="241">
        <f t="shared" si="263"/>
        <v>0</v>
      </c>
      <c r="BS136" s="241">
        <f t="shared" si="263"/>
        <v>0</v>
      </c>
      <c r="BT136" s="257">
        <f t="shared" ref="BT136:BT140" si="273">SUM(BN136:BS136)</f>
        <v>1059000</v>
      </c>
    </row>
    <row r="137" spans="1:72" x14ac:dyDescent="0.25">
      <c r="A137" s="211" t="s">
        <v>254</v>
      </c>
      <c r="B137" s="244"/>
      <c r="C137" s="244"/>
      <c r="D137" s="244"/>
      <c r="E137" s="244"/>
      <c r="F137" s="244"/>
      <c r="G137" s="244"/>
      <c r="H137" s="257">
        <f t="shared" si="264"/>
        <v>0</v>
      </c>
      <c r="J137" s="244">
        <v>25000</v>
      </c>
      <c r="K137" s="244"/>
      <c r="L137" s="244"/>
      <c r="M137" s="244"/>
      <c r="N137" s="244"/>
      <c r="O137" s="244"/>
      <c r="P137" s="257">
        <f t="shared" si="265"/>
        <v>25000</v>
      </c>
      <c r="R137" s="244"/>
      <c r="S137" s="244"/>
      <c r="T137" s="244"/>
      <c r="U137" s="244"/>
      <c r="V137" s="244"/>
      <c r="W137" s="244"/>
      <c r="X137" s="257">
        <f t="shared" si="266"/>
        <v>0</v>
      </c>
      <c r="Z137" s="244"/>
      <c r="AA137" s="244"/>
      <c r="AB137" s="244"/>
      <c r="AC137" s="244"/>
      <c r="AD137" s="244"/>
      <c r="AE137" s="244"/>
      <c r="AF137" s="257">
        <f t="shared" si="267"/>
        <v>0</v>
      </c>
      <c r="AH137" s="244">
        <v>30000</v>
      </c>
      <c r="AI137" s="244"/>
      <c r="AJ137" s="244"/>
      <c r="AK137" s="244"/>
      <c r="AL137" s="244"/>
      <c r="AM137" s="244"/>
      <c r="AN137" s="257">
        <f t="shared" si="268"/>
        <v>30000</v>
      </c>
      <c r="AP137" s="244"/>
      <c r="AQ137" s="244"/>
      <c r="AR137" s="244"/>
      <c r="AS137" s="244"/>
      <c r="AT137" s="244"/>
      <c r="AU137" s="244"/>
      <c r="AV137" s="257">
        <f t="shared" si="269"/>
        <v>0</v>
      </c>
      <c r="AX137" s="244">
        <v>0</v>
      </c>
      <c r="AY137" s="244"/>
      <c r="AZ137" s="244"/>
      <c r="BA137" s="244"/>
      <c r="BB137" s="244"/>
      <c r="BC137" s="244"/>
      <c r="BD137" s="257">
        <f t="shared" si="270"/>
        <v>0</v>
      </c>
      <c r="BF137" s="244"/>
      <c r="BG137" s="244"/>
      <c r="BH137" s="244"/>
      <c r="BI137" s="244"/>
      <c r="BJ137" s="244">
        <v>290000</v>
      </c>
      <c r="BK137" s="244"/>
      <c r="BL137" s="257">
        <f t="shared" si="271"/>
        <v>290000</v>
      </c>
      <c r="BN137" s="241">
        <f t="shared" si="272"/>
        <v>55000</v>
      </c>
      <c r="BO137" s="241">
        <f t="shared" si="263"/>
        <v>0</v>
      </c>
      <c r="BP137" s="241">
        <f t="shared" si="263"/>
        <v>0</v>
      </c>
      <c r="BQ137" s="241">
        <f t="shared" si="263"/>
        <v>0</v>
      </c>
      <c r="BR137" s="241">
        <f t="shared" si="263"/>
        <v>290000</v>
      </c>
      <c r="BS137" s="241">
        <f t="shared" si="263"/>
        <v>0</v>
      </c>
      <c r="BT137" s="257">
        <f t="shared" si="273"/>
        <v>345000</v>
      </c>
    </row>
    <row r="138" spans="1:72" x14ac:dyDescent="0.25">
      <c r="A138" s="211" t="s">
        <v>255</v>
      </c>
      <c r="B138" s="244">
        <f>39*B17</f>
        <v>36153</v>
      </c>
      <c r="C138" s="244"/>
      <c r="D138" s="244"/>
      <c r="E138" s="244"/>
      <c r="F138" s="244"/>
      <c r="G138" s="244"/>
      <c r="H138" s="257">
        <f t="shared" si="264"/>
        <v>36153</v>
      </c>
      <c r="J138" s="244">
        <f>39*J17</f>
        <v>98046</v>
      </c>
      <c r="K138" s="244"/>
      <c r="L138" s="244"/>
      <c r="M138" s="244"/>
      <c r="N138" s="244"/>
      <c r="O138" s="244"/>
      <c r="P138" s="257">
        <f t="shared" si="265"/>
        <v>98046</v>
      </c>
      <c r="R138" s="244">
        <f>39*R17</f>
        <v>40170</v>
      </c>
      <c r="S138" s="244"/>
      <c r="T138" s="244"/>
      <c r="U138" s="244"/>
      <c r="V138" s="244"/>
      <c r="W138" s="244"/>
      <c r="X138" s="257">
        <f t="shared" si="266"/>
        <v>40170</v>
      </c>
      <c r="Z138" s="244">
        <f>39*Z17</f>
        <v>46722</v>
      </c>
      <c r="AA138" s="244"/>
      <c r="AB138" s="244"/>
      <c r="AC138" s="244"/>
      <c r="AD138" s="244"/>
      <c r="AE138" s="244"/>
      <c r="AF138" s="257">
        <f t="shared" si="267"/>
        <v>46722</v>
      </c>
      <c r="AH138" s="244">
        <f>39*AH17+20000</f>
        <v>117812</v>
      </c>
      <c r="AI138" s="244"/>
      <c r="AJ138" s="244"/>
      <c r="AK138" s="244"/>
      <c r="AL138" s="244"/>
      <c r="AM138" s="244"/>
      <c r="AN138" s="257">
        <f t="shared" si="268"/>
        <v>117812</v>
      </c>
      <c r="AP138" s="244">
        <f>38*AP17</f>
        <v>34960</v>
      </c>
      <c r="AQ138" s="244"/>
      <c r="AR138" s="244"/>
      <c r="AS138" s="244"/>
      <c r="AT138" s="244"/>
      <c r="AU138" s="244"/>
      <c r="AV138" s="257">
        <f t="shared" si="269"/>
        <v>34960</v>
      </c>
      <c r="AX138" s="244">
        <f>29*AX17</f>
        <v>5278</v>
      </c>
      <c r="AY138" s="244"/>
      <c r="AZ138" s="244"/>
      <c r="BA138" s="244"/>
      <c r="BB138" s="244"/>
      <c r="BC138" s="244"/>
      <c r="BD138" s="257">
        <f t="shared" si="270"/>
        <v>5278</v>
      </c>
      <c r="BF138" s="244">
        <f>35*BF17</f>
        <v>0</v>
      </c>
      <c r="BG138" s="244"/>
      <c r="BH138" s="244"/>
      <c r="BI138" s="244"/>
      <c r="BJ138" s="244"/>
      <c r="BK138" s="244"/>
      <c r="BL138" s="257">
        <f t="shared" si="271"/>
        <v>0</v>
      </c>
      <c r="BN138" s="241">
        <f t="shared" si="272"/>
        <v>379141</v>
      </c>
      <c r="BO138" s="241">
        <f t="shared" si="263"/>
        <v>0</v>
      </c>
      <c r="BP138" s="241">
        <f t="shared" si="263"/>
        <v>0</v>
      </c>
      <c r="BQ138" s="241">
        <f t="shared" si="263"/>
        <v>0</v>
      </c>
      <c r="BR138" s="241">
        <f t="shared" si="263"/>
        <v>0</v>
      </c>
      <c r="BS138" s="241">
        <f t="shared" si="263"/>
        <v>0</v>
      </c>
      <c r="BT138" s="257">
        <f t="shared" si="273"/>
        <v>379141</v>
      </c>
    </row>
    <row r="139" spans="1:72" x14ac:dyDescent="0.25">
      <c r="A139" s="211" t="s">
        <v>256</v>
      </c>
      <c r="B139" s="244">
        <v>0</v>
      </c>
      <c r="C139" s="244"/>
      <c r="D139" s="244"/>
      <c r="E139" s="244"/>
      <c r="F139" s="244"/>
      <c r="G139" s="244"/>
      <c r="H139" s="257">
        <f t="shared" si="264"/>
        <v>0</v>
      </c>
      <c r="J139" s="244"/>
      <c r="K139" s="244"/>
      <c r="L139" s="244"/>
      <c r="M139" s="244"/>
      <c r="N139" s="244"/>
      <c r="O139" s="244"/>
      <c r="P139" s="257">
        <f t="shared" si="265"/>
        <v>0</v>
      </c>
      <c r="R139" s="244">
        <v>0</v>
      </c>
      <c r="S139" s="244"/>
      <c r="T139" s="244"/>
      <c r="U139" s="244"/>
      <c r="V139" s="244"/>
      <c r="W139" s="244"/>
      <c r="X139" s="257">
        <f t="shared" si="266"/>
        <v>0</v>
      </c>
      <c r="Z139" s="244">
        <v>0</v>
      </c>
      <c r="AA139" s="244"/>
      <c r="AB139" s="244"/>
      <c r="AC139" s="244"/>
      <c r="AD139" s="244"/>
      <c r="AE139" s="244"/>
      <c r="AF139" s="257">
        <f t="shared" si="267"/>
        <v>0</v>
      </c>
      <c r="AH139" s="244">
        <v>0</v>
      </c>
      <c r="AI139" s="244"/>
      <c r="AJ139" s="244"/>
      <c r="AK139" s="244"/>
      <c r="AL139" s="244"/>
      <c r="AM139" s="244"/>
      <c r="AN139" s="257">
        <f t="shared" si="268"/>
        <v>0</v>
      </c>
      <c r="AP139" s="244">
        <v>0</v>
      </c>
      <c r="AQ139" s="244"/>
      <c r="AR139" s="244"/>
      <c r="AS139" s="244"/>
      <c r="AT139" s="244"/>
      <c r="AU139" s="244"/>
      <c r="AV139" s="257">
        <f t="shared" si="269"/>
        <v>0</v>
      </c>
      <c r="AX139" s="244">
        <v>0</v>
      </c>
      <c r="AY139" s="244"/>
      <c r="AZ139" s="244"/>
      <c r="BA139" s="244"/>
      <c r="BB139" s="244"/>
      <c r="BC139" s="244"/>
      <c r="BD139" s="257">
        <f t="shared" si="270"/>
        <v>0</v>
      </c>
      <c r="BF139" s="244">
        <f>(22*BF17)</f>
        <v>0</v>
      </c>
      <c r="BG139" s="244"/>
      <c r="BH139" s="244"/>
      <c r="BI139" s="244"/>
      <c r="BJ139" s="244"/>
      <c r="BK139" s="244"/>
      <c r="BL139" s="257">
        <f t="shared" si="271"/>
        <v>0</v>
      </c>
      <c r="BN139" s="241">
        <f t="shared" si="272"/>
        <v>0</v>
      </c>
      <c r="BO139" s="241">
        <f t="shared" si="263"/>
        <v>0</v>
      </c>
      <c r="BP139" s="241">
        <f t="shared" si="263"/>
        <v>0</v>
      </c>
      <c r="BQ139" s="241">
        <f t="shared" si="263"/>
        <v>0</v>
      </c>
      <c r="BR139" s="241">
        <f t="shared" si="263"/>
        <v>0</v>
      </c>
      <c r="BS139" s="241">
        <f t="shared" si="263"/>
        <v>0</v>
      </c>
      <c r="BT139" s="257">
        <f t="shared" si="273"/>
        <v>0</v>
      </c>
    </row>
    <row r="140" spans="1:72" x14ac:dyDescent="0.25">
      <c r="A140" s="212" t="s">
        <v>257</v>
      </c>
      <c r="B140" s="245"/>
      <c r="C140" s="245">
        <f>195*C21</f>
        <v>21840</v>
      </c>
      <c r="D140" s="245"/>
      <c r="E140" s="245"/>
      <c r="F140" s="245"/>
      <c r="G140" s="245"/>
      <c r="H140" s="257">
        <f t="shared" si="264"/>
        <v>21840</v>
      </c>
      <c r="J140" s="245"/>
      <c r="K140" s="245">
        <f>195*K21</f>
        <v>55575</v>
      </c>
      <c r="L140" s="245"/>
      <c r="M140" s="245"/>
      <c r="N140" s="245"/>
      <c r="O140" s="245"/>
      <c r="P140" s="257">
        <f t="shared" si="265"/>
        <v>55575</v>
      </c>
      <c r="R140" s="245"/>
      <c r="S140" s="245">
        <f>195*S21</f>
        <v>15600</v>
      </c>
      <c r="T140" s="245"/>
      <c r="U140" s="245"/>
      <c r="V140" s="245"/>
      <c r="W140" s="245"/>
      <c r="X140" s="257">
        <f t="shared" si="266"/>
        <v>15600</v>
      </c>
      <c r="Z140" s="245"/>
      <c r="AA140" s="245">
        <f>195*AA21</f>
        <v>19500</v>
      </c>
      <c r="AB140" s="245"/>
      <c r="AC140" s="245"/>
      <c r="AD140" s="245"/>
      <c r="AE140" s="245"/>
      <c r="AF140" s="257">
        <f t="shared" si="267"/>
        <v>19500</v>
      </c>
      <c r="AH140" s="245"/>
      <c r="AI140" s="245">
        <f>195*AI21</f>
        <v>41925</v>
      </c>
      <c r="AJ140" s="245"/>
      <c r="AK140" s="245"/>
      <c r="AL140" s="245"/>
      <c r="AM140" s="245"/>
      <c r="AN140" s="257">
        <f t="shared" si="268"/>
        <v>41925</v>
      </c>
      <c r="AP140" s="245"/>
      <c r="AQ140" s="245">
        <f>190*AQ21</f>
        <v>20520</v>
      </c>
      <c r="AR140" s="245"/>
      <c r="AS140" s="245"/>
      <c r="AT140" s="245"/>
      <c r="AU140" s="245"/>
      <c r="AV140" s="257">
        <f t="shared" si="269"/>
        <v>20520</v>
      </c>
      <c r="AX140" s="245"/>
      <c r="AY140" s="245">
        <f>195*AY21</f>
        <v>4095</v>
      </c>
      <c r="AZ140" s="245"/>
      <c r="BA140" s="245"/>
      <c r="BB140" s="245"/>
      <c r="BC140" s="245"/>
      <c r="BD140" s="257">
        <f t="shared" si="270"/>
        <v>4095</v>
      </c>
      <c r="BF140" s="245"/>
      <c r="BG140" s="245">
        <f>175*BG21</f>
        <v>0</v>
      </c>
      <c r="BH140" s="245"/>
      <c r="BI140" s="245"/>
      <c r="BJ140" s="245"/>
      <c r="BK140" s="245"/>
      <c r="BL140" s="257">
        <f t="shared" si="271"/>
        <v>0</v>
      </c>
      <c r="BN140" s="241">
        <f t="shared" si="272"/>
        <v>0</v>
      </c>
      <c r="BO140" s="241">
        <f t="shared" si="263"/>
        <v>179055</v>
      </c>
      <c r="BP140" s="241">
        <f t="shared" si="263"/>
        <v>0</v>
      </c>
      <c r="BQ140" s="241">
        <f t="shared" si="263"/>
        <v>0</v>
      </c>
      <c r="BR140" s="241">
        <f t="shared" si="263"/>
        <v>0</v>
      </c>
      <c r="BS140" s="241">
        <f t="shared" si="263"/>
        <v>0</v>
      </c>
      <c r="BT140" s="257">
        <f t="shared" si="273"/>
        <v>179055</v>
      </c>
    </row>
    <row r="141" spans="1:72" x14ac:dyDescent="0.25">
      <c r="A141" s="213"/>
      <c r="B141" s="258">
        <f>SUM(B135:B140)</f>
        <v>268903</v>
      </c>
      <c r="C141" s="258">
        <f t="shared" ref="C141:H141" si="274">SUM(C135:C140)</f>
        <v>21840</v>
      </c>
      <c r="D141" s="258">
        <f t="shared" si="274"/>
        <v>0</v>
      </c>
      <c r="E141" s="258">
        <f t="shared" si="274"/>
        <v>0</v>
      </c>
      <c r="F141" s="258">
        <f t="shared" si="274"/>
        <v>0</v>
      </c>
      <c r="G141" s="258">
        <f t="shared" si="274"/>
        <v>0</v>
      </c>
      <c r="H141" s="258">
        <f t="shared" si="274"/>
        <v>290743</v>
      </c>
      <c r="J141" s="258">
        <f>SUM(J135:J140)</f>
        <v>1257796</v>
      </c>
      <c r="K141" s="258">
        <f>SUM(K134:K140)</f>
        <v>55575</v>
      </c>
      <c r="L141" s="258">
        <f t="shared" ref="L141:P141" si="275">SUM(L135:L140)</f>
        <v>0</v>
      </c>
      <c r="M141" s="258">
        <f t="shared" si="275"/>
        <v>0</v>
      </c>
      <c r="N141" s="258">
        <f t="shared" si="275"/>
        <v>0</v>
      </c>
      <c r="O141" s="258">
        <f t="shared" si="275"/>
        <v>0</v>
      </c>
      <c r="P141" s="258">
        <f t="shared" si="275"/>
        <v>1313371</v>
      </c>
      <c r="R141" s="258">
        <f>SUM(R135:R140)</f>
        <v>297420</v>
      </c>
      <c r="S141" s="258">
        <f t="shared" ref="S141:X141" si="276">SUM(S135:S140)</f>
        <v>15600</v>
      </c>
      <c r="T141" s="258">
        <f t="shared" si="276"/>
        <v>0</v>
      </c>
      <c r="U141" s="258">
        <f t="shared" si="276"/>
        <v>0</v>
      </c>
      <c r="V141" s="258">
        <f t="shared" si="276"/>
        <v>0</v>
      </c>
      <c r="W141" s="258">
        <f t="shared" si="276"/>
        <v>0</v>
      </c>
      <c r="X141" s="258">
        <f t="shared" si="276"/>
        <v>313020</v>
      </c>
      <c r="Z141" s="258">
        <f>SUM(Z135:Z140)</f>
        <v>340722</v>
      </c>
      <c r="AA141" s="258">
        <f t="shared" ref="AA141:AF141" si="277">SUM(AA135:AA140)</f>
        <v>19500</v>
      </c>
      <c r="AB141" s="258">
        <f t="shared" si="277"/>
        <v>0</v>
      </c>
      <c r="AC141" s="258">
        <f t="shared" si="277"/>
        <v>0</v>
      </c>
      <c r="AD141" s="258">
        <f t="shared" si="277"/>
        <v>0</v>
      </c>
      <c r="AE141" s="258">
        <f t="shared" si="277"/>
        <v>0</v>
      </c>
      <c r="AF141" s="258">
        <f t="shared" si="277"/>
        <v>360222</v>
      </c>
      <c r="AH141" s="258">
        <f>SUM(AH135:AH140)</f>
        <v>1282562</v>
      </c>
      <c r="AI141" s="258">
        <f t="shared" ref="AI141:AN141" si="278">SUM(AI135:AI140)</f>
        <v>41925</v>
      </c>
      <c r="AJ141" s="258">
        <f t="shared" si="278"/>
        <v>0</v>
      </c>
      <c r="AK141" s="258">
        <f t="shared" si="278"/>
        <v>0</v>
      </c>
      <c r="AL141" s="258">
        <f t="shared" si="278"/>
        <v>0</v>
      </c>
      <c r="AM141" s="258">
        <f t="shared" si="278"/>
        <v>0</v>
      </c>
      <c r="AN141" s="258">
        <f t="shared" si="278"/>
        <v>1324487</v>
      </c>
      <c r="AP141" s="258">
        <f>SUM(AP135:AP140)</f>
        <v>261585</v>
      </c>
      <c r="AQ141" s="258">
        <f t="shared" ref="AQ141:AV141" si="279">SUM(AQ135:AQ140)</f>
        <v>20520</v>
      </c>
      <c r="AR141" s="258">
        <f t="shared" si="279"/>
        <v>0</v>
      </c>
      <c r="AS141" s="258">
        <f t="shared" si="279"/>
        <v>0</v>
      </c>
      <c r="AT141" s="258">
        <f t="shared" si="279"/>
        <v>0</v>
      </c>
      <c r="AU141" s="258">
        <f t="shared" si="279"/>
        <v>0</v>
      </c>
      <c r="AV141" s="258">
        <f t="shared" si="279"/>
        <v>282105</v>
      </c>
      <c r="AX141" s="258">
        <f>SUM(AX135:AX140)</f>
        <v>114028</v>
      </c>
      <c r="AY141" s="258">
        <f t="shared" ref="AY141:BD141" si="280">SUM(AY135:AY140)</f>
        <v>4095</v>
      </c>
      <c r="AZ141" s="258">
        <f t="shared" si="280"/>
        <v>0</v>
      </c>
      <c r="BA141" s="258">
        <f t="shared" si="280"/>
        <v>0</v>
      </c>
      <c r="BB141" s="258">
        <f t="shared" si="280"/>
        <v>0</v>
      </c>
      <c r="BC141" s="258">
        <f t="shared" si="280"/>
        <v>0</v>
      </c>
      <c r="BD141" s="258">
        <f t="shared" si="280"/>
        <v>118123</v>
      </c>
      <c r="BF141" s="258">
        <f>SUM(BF135:BF140)</f>
        <v>0</v>
      </c>
      <c r="BG141" s="258">
        <f t="shared" ref="BG141:BL141" si="281">SUM(BG135:BG140)</f>
        <v>0</v>
      </c>
      <c r="BH141" s="258">
        <f t="shared" si="281"/>
        <v>0</v>
      </c>
      <c r="BI141" s="258">
        <f t="shared" si="281"/>
        <v>0</v>
      </c>
      <c r="BJ141" s="258">
        <f t="shared" si="281"/>
        <v>290000</v>
      </c>
      <c r="BK141" s="258">
        <f t="shared" si="281"/>
        <v>0</v>
      </c>
      <c r="BL141" s="258">
        <f t="shared" si="281"/>
        <v>290000</v>
      </c>
      <c r="BN141" s="258">
        <f>SUM(BN135:BN140)</f>
        <v>3823016</v>
      </c>
      <c r="BO141" s="258">
        <f t="shared" ref="BO141:BT141" si="282">SUM(BO135:BO140)</f>
        <v>179055</v>
      </c>
      <c r="BP141" s="258">
        <f t="shared" si="282"/>
        <v>0</v>
      </c>
      <c r="BQ141" s="258">
        <f t="shared" si="282"/>
        <v>0</v>
      </c>
      <c r="BR141" s="258">
        <f t="shared" si="282"/>
        <v>290000</v>
      </c>
      <c r="BS141" s="258">
        <f t="shared" si="282"/>
        <v>0</v>
      </c>
      <c r="BT141" s="258">
        <f t="shared" si="282"/>
        <v>4292071</v>
      </c>
    </row>
    <row r="142" spans="1:72" x14ac:dyDescent="0.25">
      <c r="B142" s="259"/>
      <c r="C142" s="259"/>
      <c r="D142" s="259"/>
      <c r="E142" s="259"/>
      <c r="F142" s="259"/>
      <c r="G142" s="259"/>
      <c r="H142" s="259"/>
      <c r="J142" s="259"/>
      <c r="K142" s="259"/>
      <c r="L142" s="259"/>
      <c r="M142" s="259"/>
      <c r="N142" s="259"/>
      <c r="O142" s="259"/>
      <c r="P142" s="259"/>
      <c r="R142" s="259"/>
      <c r="S142" s="259"/>
      <c r="T142" s="259"/>
      <c r="U142" s="259"/>
      <c r="V142" s="259"/>
      <c r="W142" s="259"/>
      <c r="X142" s="259"/>
      <c r="Z142" s="259"/>
      <c r="AA142" s="259"/>
      <c r="AB142" s="259"/>
      <c r="AC142" s="259"/>
      <c r="AD142" s="259"/>
      <c r="AE142" s="259"/>
      <c r="AF142" s="259"/>
      <c r="AH142" s="259"/>
      <c r="AI142" s="259"/>
      <c r="AJ142" s="259"/>
      <c r="AK142" s="259"/>
      <c r="AL142" s="259"/>
      <c r="AM142" s="259"/>
      <c r="AN142" s="259"/>
      <c r="AP142" s="259"/>
      <c r="AQ142" s="259"/>
      <c r="AR142" s="259"/>
      <c r="AS142" s="259"/>
      <c r="AT142" s="259"/>
      <c r="AU142" s="259"/>
      <c r="AV142" s="259"/>
      <c r="AX142" s="259"/>
      <c r="AY142" s="259"/>
      <c r="AZ142" s="259"/>
      <c r="BA142" s="259"/>
      <c r="BB142" s="259"/>
      <c r="BC142" s="259"/>
      <c r="BD142" s="259"/>
      <c r="BF142" s="259"/>
      <c r="BG142" s="259"/>
      <c r="BH142" s="259"/>
      <c r="BI142" s="259"/>
      <c r="BJ142" s="259"/>
      <c r="BK142" s="259"/>
      <c r="BL142" s="259"/>
      <c r="BN142" s="259"/>
      <c r="BO142" s="259"/>
      <c r="BP142" s="259"/>
      <c r="BQ142" s="259"/>
      <c r="BR142" s="259"/>
      <c r="BS142" s="259"/>
      <c r="BT142" s="259"/>
    </row>
    <row r="143" spans="1:72" x14ac:dyDescent="0.25">
      <c r="A143" s="208" t="s">
        <v>333</v>
      </c>
      <c r="B143" s="260" t="s">
        <v>309</v>
      </c>
      <c r="C143" s="260" t="s">
        <v>310</v>
      </c>
      <c r="D143" s="260" t="s">
        <v>311</v>
      </c>
      <c r="E143" s="260" t="str">
        <f>E134</f>
        <v>Other</v>
      </c>
      <c r="F143" s="260" t="s">
        <v>315</v>
      </c>
      <c r="G143" s="260" t="s">
        <v>314</v>
      </c>
      <c r="H143" s="260" t="str">
        <f>H134</f>
        <v>Horizon</v>
      </c>
      <c r="J143" s="260" t="s">
        <v>309</v>
      </c>
      <c r="K143" s="260" t="s">
        <v>310</v>
      </c>
      <c r="L143" s="260" t="s">
        <v>311</v>
      </c>
      <c r="M143" s="260" t="str">
        <f>M134</f>
        <v>Other</v>
      </c>
      <c r="N143" s="260" t="s">
        <v>315</v>
      </c>
      <c r="O143" s="260" t="s">
        <v>314</v>
      </c>
      <c r="P143" s="260" t="str">
        <f>P118</f>
        <v>Cadence</v>
      </c>
      <c r="R143" s="260" t="s">
        <v>309</v>
      </c>
      <c r="S143" s="260" t="s">
        <v>310</v>
      </c>
      <c r="T143" s="260" t="s">
        <v>311</v>
      </c>
      <c r="U143" s="260" t="str">
        <f>U134</f>
        <v>Other</v>
      </c>
      <c r="V143" s="260" t="s">
        <v>315</v>
      </c>
      <c r="W143" s="260" t="s">
        <v>314</v>
      </c>
      <c r="X143" s="260" t="str">
        <f>X134</f>
        <v>St. Rose</v>
      </c>
      <c r="Z143" s="260" t="s">
        <v>309</v>
      </c>
      <c r="AA143" s="260" t="s">
        <v>310</v>
      </c>
      <c r="AB143" s="260" t="s">
        <v>311</v>
      </c>
      <c r="AC143" s="260" t="str">
        <f>AC134</f>
        <v>Other</v>
      </c>
      <c r="AD143" s="260" t="s">
        <v>315</v>
      </c>
      <c r="AE143" s="260" t="s">
        <v>314</v>
      </c>
      <c r="AF143" s="260" t="str">
        <f>AF134</f>
        <v>Inspirada</v>
      </c>
      <c r="AH143" s="260" t="s">
        <v>309</v>
      </c>
      <c r="AI143" s="260" t="s">
        <v>310</v>
      </c>
      <c r="AJ143" s="260" t="s">
        <v>311</v>
      </c>
      <c r="AK143" s="260" t="str">
        <f>AK134</f>
        <v>Other</v>
      </c>
      <c r="AL143" s="260" t="s">
        <v>315</v>
      </c>
      <c r="AM143" s="260" t="s">
        <v>314</v>
      </c>
      <c r="AN143" s="260" t="str">
        <f>AN134</f>
        <v>Sloan</v>
      </c>
      <c r="AP143" s="260" t="s">
        <v>309</v>
      </c>
      <c r="AQ143" s="260" t="s">
        <v>310</v>
      </c>
      <c r="AR143" s="260" t="s">
        <v>311</v>
      </c>
      <c r="AS143" s="260" t="str">
        <f>AS134</f>
        <v>Other</v>
      </c>
      <c r="AT143" s="260" t="s">
        <v>315</v>
      </c>
      <c r="AU143" s="260" t="s">
        <v>314</v>
      </c>
      <c r="AV143" s="260" t="str">
        <f>AV134</f>
        <v>Springs</v>
      </c>
      <c r="AX143" s="260" t="s">
        <v>309</v>
      </c>
      <c r="AY143" s="260" t="s">
        <v>310</v>
      </c>
      <c r="AZ143" s="260" t="s">
        <v>311</v>
      </c>
      <c r="BA143" s="260" t="str">
        <f>BA134</f>
        <v>Other</v>
      </c>
      <c r="BB143" s="260" t="s">
        <v>315</v>
      </c>
      <c r="BC143" s="260" t="s">
        <v>314</v>
      </c>
      <c r="BD143" s="260" t="str">
        <f>BD134</f>
        <v>Virtual</v>
      </c>
      <c r="BF143" s="260" t="s">
        <v>309</v>
      </c>
      <c r="BG143" s="260" t="s">
        <v>310</v>
      </c>
      <c r="BH143" s="260" t="s">
        <v>311</v>
      </c>
      <c r="BI143" s="260" t="str">
        <f>BI134</f>
        <v>Other</v>
      </c>
      <c r="BJ143" s="260" t="s">
        <v>315</v>
      </c>
      <c r="BK143" s="260" t="s">
        <v>314</v>
      </c>
      <c r="BL143" s="260" t="str">
        <f>BL134</f>
        <v>Central</v>
      </c>
      <c r="BN143" s="260" t="s">
        <v>309</v>
      </c>
      <c r="BO143" s="260" t="s">
        <v>310</v>
      </c>
      <c r="BP143" s="260" t="s">
        <v>311</v>
      </c>
      <c r="BQ143" s="260" t="str">
        <f>BQ134</f>
        <v>Other</v>
      </c>
      <c r="BR143" s="260" t="s">
        <v>315</v>
      </c>
      <c r="BS143" s="260" t="s">
        <v>314</v>
      </c>
      <c r="BT143" s="260" t="str">
        <f>BT134</f>
        <v>System</v>
      </c>
    </row>
    <row r="144" spans="1:72" x14ac:dyDescent="0.25">
      <c r="A144" s="214" t="s">
        <v>258</v>
      </c>
      <c r="B144" s="257">
        <f>34*B17</f>
        <v>31518</v>
      </c>
      <c r="C144" s="257"/>
      <c r="D144" s="257"/>
      <c r="E144" s="257"/>
      <c r="F144" s="257"/>
      <c r="G144" s="257"/>
      <c r="H144" s="241">
        <f>SUM(B144:G144)</f>
        <v>31518</v>
      </c>
      <c r="J144" s="257">
        <f>34*J17</f>
        <v>85476</v>
      </c>
      <c r="K144" s="257"/>
      <c r="L144" s="257"/>
      <c r="M144" s="257"/>
      <c r="N144" s="257"/>
      <c r="O144" s="257"/>
      <c r="P144" s="241">
        <f>SUM(J144:O144)</f>
        <v>85476</v>
      </c>
      <c r="R144" s="257">
        <f>34*R17</f>
        <v>35020</v>
      </c>
      <c r="S144" s="257"/>
      <c r="T144" s="257"/>
      <c r="U144" s="257"/>
      <c r="V144" s="257"/>
      <c r="W144" s="257"/>
      <c r="X144" s="241">
        <f>SUM(R144:W144)</f>
        <v>35020</v>
      </c>
      <c r="Z144" s="257">
        <f>34*Z17</f>
        <v>40732</v>
      </c>
      <c r="AA144" s="257"/>
      <c r="AB144" s="257"/>
      <c r="AC144" s="257"/>
      <c r="AD144" s="257"/>
      <c r="AE144" s="257"/>
      <c r="AF144" s="241">
        <f>SUM(Z144:AE144)</f>
        <v>40732</v>
      </c>
      <c r="AH144" s="257">
        <f>34*AH17</f>
        <v>85272</v>
      </c>
      <c r="AI144" s="257"/>
      <c r="AJ144" s="257"/>
      <c r="AK144" s="257"/>
      <c r="AL144" s="257"/>
      <c r="AM144" s="257"/>
      <c r="AN144" s="241">
        <f>SUM(AH144:AM144)</f>
        <v>85272</v>
      </c>
      <c r="AP144" s="257">
        <f>33*AP17</f>
        <v>30360</v>
      </c>
      <c r="AQ144" s="257"/>
      <c r="AR144" s="257"/>
      <c r="AS144" s="257"/>
      <c r="AT144" s="257"/>
      <c r="AU144" s="257"/>
      <c r="AV144" s="241">
        <f>SUM(AP144:AU144)</f>
        <v>30360</v>
      </c>
      <c r="AX144" s="257">
        <f>24*AX17</f>
        <v>4368</v>
      </c>
      <c r="AY144" s="257"/>
      <c r="AZ144" s="257"/>
      <c r="BA144" s="257"/>
      <c r="BB144" s="257"/>
      <c r="BC144" s="257"/>
      <c r="BD144" s="241">
        <f>SUM(AX144:BC144)</f>
        <v>4368</v>
      </c>
      <c r="BF144" s="257"/>
      <c r="BG144" s="257"/>
      <c r="BH144" s="257"/>
      <c r="BI144" s="257"/>
      <c r="BJ144" s="257"/>
      <c r="BK144" s="257"/>
      <c r="BL144" s="241">
        <f>SUM(BF144:BK144)</f>
        <v>0</v>
      </c>
      <c r="BN144" s="241">
        <f>B144+J144+R144+Z144+AH144+AP144+AX144+BF144</f>
        <v>312746</v>
      </c>
      <c r="BO144" s="241">
        <f t="shared" ref="BO144:BS148" si="283">C144+K144+S144+AA144+AI144+AQ144+AY144+BG144</f>
        <v>0</v>
      </c>
      <c r="BP144" s="241">
        <f t="shared" si="283"/>
        <v>0</v>
      </c>
      <c r="BQ144" s="241">
        <f t="shared" si="283"/>
        <v>0</v>
      </c>
      <c r="BR144" s="241">
        <f t="shared" si="283"/>
        <v>0</v>
      </c>
      <c r="BS144" s="241">
        <f t="shared" si="283"/>
        <v>0</v>
      </c>
      <c r="BT144" s="241">
        <f>SUM(BN144:BS144)</f>
        <v>312746</v>
      </c>
    </row>
    <row r="145" spans="1:72" x14ac:dyDescent="0.25">
      <c r="A145" s="211" t="s">
        <v>256</v>
      </c>
      <c r="B145" s="244">
        <f>(29*B17)</f>
        <v>26883</v>
      </c>
      <c r="C145" s="244"/>
      <c r="D145" s="244"/>
      <c r="E145" s="244"/>
      <c r="F145" s="244"/>
      <c r="G145" s="244"/>
      <c r="H145" s="241">
        <f t="shared" ref="H145:H148" si="284">SUM(B145:G145)</f>
        <v>26883</v>
      </c>
      <c r="J145" s="244">
        <f>(29*J17)</f>
        <v>72906</v>
      </c>
      <c r="K145" s="244"/>
      <c r="L145" s="244"/>
      <c r="M145" s="244"/>
      <c r="N145" s="244"/>
      <c r="O145" s="244"/>
      <c r="P145" s="241">
        <f t="shared" ref="P145:P148" si="285">SUM(J145:O145)</f>
        <v>72906</v>
      </c>
      <c r="R145" s="244">
        <f>(29*R17)</f>
        <v>29870</v>
      </c>
      <c r="S145" s="244"/>
      <c r="T145" s="244"/>
      <c r="U145" s="244"/>
      <c r="V145" s="244"/>
      <c r="W145" s="244"/>
      <c r="X145" s="241">
        <f t="shared" ref="X145:X148" si="286">SUM(R145:W145)</f>
        <v>29870</v>
      </c>
      <c r="Z145" s="244">
        <f>(29*Z17)</f>
        <v>34742</v>
      </c>
      <c r="AA145" s="244"/>
      <c r="AB145" s="244"/>
      <c r="AC145" s="244"/>
      <c r="AD145" s="244"/>
      <c r="AE145" s="244"/>
      <c r="AF145" s="241">
        <f t="shared" ref="AF145:AF148" si="287">SUM(Z145:AE145)</f>
        <v>34742</v>
      </c>
      <c r="AH145" s="244">
        <f>(29*AH17)</f>
        <v>72732</v>
      </c>
      <c r="AI145" s="244"/>
      <c r="AJ145" s="244"/>
      <c r="AK145" s="244"/>
      <c r="AL145" s="244"/>
      <c r="AM145" s="244"/>
      <c r="AN145" s="241">
        <f t="shared" ref="AN145:AN148" si="288">SUM(AH145:AM145)</f>
        <v>72732</v>
      </c>
      <c r="AP145" s="244">
        <f>(28*AP17)</f>
        <v>25760</v>
      </c>
      <c r="AQ145" s="244"/>
      <c r="AR145" s="244"/>
      <c r="AS145" s="244"/>
      <c r="AT145" s="244"/>
      <c r="AU145" s="244"/>
      <c r="AV145" s="241">
        <f t="shared" ref="AV145:AV148" si="289">SUM(AP145:AU145)</f>
        <v>25760</v>
      </c>
      <c r="AX145" s="244">
        <f>(29*AX17)</f>
        <v>5278</v>
      </c>
      <c r="AY145" s="244"/>
      <c r="AZ145" s="244"/>
      <c r="BA145" s="244"/>
      <c r="BB145" s="244"/>
      <c r="BC145" s="244"/>
      <c r="BD145" s="241">
        <f t="shared" ref="BD145:BD148" si="290">SUM(AX145:BC145)</f>
        <v>5278</v>
      </c>
      <c r="BF145" s="244">
        <f>(3*BF17)</f>
        <v>0</v>
      </c>
      <c r="BG145" s="244"/>
      <c r="BH145" s="244"/>
      <c r="BI145" s="244"/>
      <c r="BJ145" s="244"/>
      <c r="BK145" s="244"/>
      <c r="BL145" s="241">
        <f t="shared" ref="BL145:BL148" si="291">SUM(BF145:BK145)</f>
        <v>0</v>
      </c>
      <c r="BN145" s="241">
        <f t="shared" ref="BN145:BN148" si="292">B145+J145+R145+Z145+AH145+AP145+AX145+BF145</f>
        <v>268171</v>
      </c>
      <c r="BO145" s="241">
        <f t="shared" si="283"/>
        <v>0</v>
      </c>
      <c r="BP145" s="241">
        <f t="shared" si="283"/>
        <v>0</v>
      </c>
      <c r="BQ145" s="241">
        <f t="shared" si="283"/>
        <v>0</v>
      </c>
      <c r="BR145" s="241">
        <f t="shared" si="283"/>
        <v>0</v>
      </c>
      <c r="BS145" s="241">
        <f t="shared" si="283"/>
        <v>0</v>
      </c>
      <c r="BT145" s="241">
        <f t="shared" ref="BT145:BT148" si="293">SUM(BN145:BS145)</f>
        <v>268171</v>
      </c>
    </row>
    <row r="146" spans="1:72" x14ac:dyDescent="0.25">
      <c r="A146" s="211" t="s">
        <v>259</v>
      </c>
      <c r="B146" s="244">
        <f>9*B17</f>
        <v>8343</v>
      </c>
      <c r="C146" s="244"/>
      <c r="D146" s="244"/>
      <c r="E146" s="244"/>
      <c r="F146" s="244"/>
      <c r="G146" s="244"/>
      <c r="H146" s="241">
        <f t="shared" si="284"/>
        <v>8343</v>
      </c>
      <c r="J146" s="244">
        <f>9*J17</f>
        <v>22626</v>
      </c>
      <c r="K146" s="244"/>
      <c r="L146" s="244"/>
      <c r="M146" s="244"/>
      <c r="N146" s="244"/>
      <c r="O146" s="244"/>
      <c r="P146" s="241">
        <f t="shared" si="285"/>
        <v>22626</v>
      </c>
      <c r="R146" s="244">
        <f>9*R17</f>
        <v>9270</v>
      </c>
      <c r="S146" s="244"/>
      <c r="T146" s="244"/>
      <c r="U146" s="244"/>
      <c r="V146" s="244"/>
      <c r="W146" s="244"/>
      <c r="X146" s="241">
        <f t="shared" si="286"/>
        <v>9270</v>
      </c>
      <c r="Z146" s="244">
        <f>9*Z17</f>
        <v>10782</v>
      </c>
      <c r="AA146" s="244"/>
      <c r="AB146" s="244"/>
      <c r="AC146" s="244"/>
      <c r="AD146" s="244"/>
      <c r="AE146" s="244"/>
      <c r="AF146" s="241">
        <f t="shared" si="287"/>
        <v>10782</v>
      </c>
      <c r="AH146" s="244">
        <f>9*AH17</f>
        <v>22572</v>
      </c>
      <c r="AI146" s="244"/>
      <c r="AJ146" s="244"/>
      <c r="AK146" s="244"/>
      <c r="AL146" s="244"/>
      <c r="AM146" s="244"/>
      <c r="AN146" s="241">
        <f t="shared" si="288"/>
        <v>22572</v>
      </c>
      <c r="AP146" s="244">
        <f>9*AP17</f>
        <v>8280</v>
      </c>
      <c r="AQ146" s="244"/>
      <c r="AR146" s="244"/>
      <c r="AS146" s="244"/>
      <c r="AT146" s="244"/>
      <c r="AU146" s="244"/>
      <c r="AV146" s="241">
        <f t="shared" si="289"/>
        <v>8280</v>
      </c>
      <c r="AX146" s="244">
        <v>0</v>
      </c>
      <c r="AY146" s="244"/>
      <c r="AZ146" s="244"/>
      <c r="BA146" s="244"/>
      <c r="BB146" s="244"/>
      <c r="BC146" s="244"/>
      <c r="BD146" s="241">
        <f t="shared" si="290"/>
        <v>0</v>
      </c>
      <c r="BF146" s="244">
        <f>8*BF17</f>
        <v>0</v>
      </c>
      <c r="BG146" s="244"/>
      <c r="BH146" s="244"/>
      <c r="BI146" s="244"/>
      <c r="BJ146" s="244"/>
      <c r="BK146" s="244"/>
      <c r="BL146" s="241">
        <f t="shared" si="291"/>
        <v>0</v>
      </c>
      <c r="BN146" s="241">
        <f t="shared" si="292"/>
        <v>81873</v>
      </c>
      <c r="BO146" s="241">
        <f t="shared" si="283"/>
        <v>0</v>
      </c>
      <c r="BP146" s="241">
        <f t="shared" si="283"/>
        <v>0</v>
      </c>
      <c r="BQ146" s="241">
        <f t="shared" si="283"/>
        <v>0</v>
      </c>
      <c r="BR146" s="241">
        <f t="shared" si="283"/>
        <v>0</v>
      </c>
      <c r="BS146" s="241">
        <f t="shared" si="283"/>
        <v>0</v>
      </c>
      <c r="BT146" s="241">
        <f t="shared" si="293"/>
        <v>81873</v>
      </c>
    </row>
    <row r="147" spans="1:72" x14ac:dyDescent="0.25">
      <c r="A147" s="211" t="s">
        <v>260</v>
      </c>
      <c r="B147" s="244"/>
      <c r="C147" s="244"/>
      <c r="D147" s="244"/>
      <c r="E147" s="244"/>
      <c r="F147" s="244"/>
      <c r="G147" s="244"/>
      <c r="H147" s="241">
        <f t="shared" si="284"/>
        <v>0</v>
      </c>
      <c r="J147" s="244">
        <v>160000</v>
      </c>
      <c r="K147" s="244"/>
      <c r="L147" s="244"/>
      <c r="M147" s="244"/>
      <c r="N147" s="244"/>
      <c r="O147" s="244"/>
      <c r="P147" s="241">
        <f t="shared" si="285"/>
        <v>160000</v>
      </c>
      <c r="R147" s="244"/>
      <c r="S147" s="244"/>
      <c r="T147" s="244"/>
      <c r="U147" s="244"/>
      <c r="V147" s="244"/>
      <c r="W147" s="244"/>
      <c r="X147" s="241">
        <f t="shared" si="286"/>
        <v>0</v>
      </c>
      <c r="Z147" s="244"/>
      <c r="AA147" s="244"/>
      <c r="AB147" s="244"/>
      <c r="AC147" s="244"/>
      <c r="AD147" s="244"/>
      <c r="AE147" s="244"/>
      <c r="AF147" s="241">
        <f t="shared" si="287"/>
        <v>0</v>
      </c>
      <c r="AH147" s="244">
        <v>180000</v>
      </c>
      <c r="AI147" s="244"/>
      <c r="AJ147" s="244"/>
      <c r="AK147" s="244"/>
      <c r="AL147" s="244"/>
      <c r="AM147" s="244"/>
      <c r="AN147" s="241">
        <f t="shared" si="288"/>
        <v>180000</v>
      </c>
      <c r="AP147" s="244"/>
      <c r="AQ147" s="244"/>
      <c r="AR147" s="244"/>
      <c r="AS147" s="244"/>
      <c r="AT147" s="244"/>
      <c r="AU147" s="244"/>
      <c r="AV147" s="241">
        <f t="shared" si="289"/>
        <v>0</v>
      </c>
      <c r="AX147" s="242"/>
      <c r="AY147" s="244"/>
      <c r="AZ147" s="244"/>
      <c r="BA147" s="244"/>
      <c r="BB147" s="244"/>
      <c r="BC147" s="244"/>
      <c r="BD147" s="241">
        <f t="shared" si="290"/>
        <v>0</v>
      </c>
      <c r="BF147" s="244"/>
      <c r="BG147" s="244"/>
      <c r="BH147" s="244"/>
      <c r="BI147" s="244"/>
      <c r="BJ147" s="244"/>
      <c r="BK147" s="244"/>
      <c r="BL147" s="241">
        <f t="shared" si="291"/>
        <v>0</v>
      </c>
      <c r="BN147" s="241">
        <f t="shared" si="292"/>
        <v>340000</v>
      </c>
      <c r="BO147" s="241">
        <f t="shared" si="283"/>
        <v>0</v>
      </c>
      <c r="BP147" s="241">
        <f t="shared" si="283"/>
        <v>0</v>
      </c>
      <c r="BQ147" s="241">
        <f t="shared" si="283"/>
        <v>0</v>
      </c>
      <c r="BR147" s="241">
        <f t="shared" si="283"/>
        <v>0</v>
      </c>
      <c r="BS147" s="241">
        <f t="shared" si="283"/>
        <v>0</v>
      </c>
      <c r="BT147" s="241">
        <f t="shared" si="293"/>
        <v>340000</v>
      </c>
    </row>
    <row r="148" spans="1:72" x14ac:dyDescent="0.25">
      <c r="A148" s="212" t="s">
        <v>261</v>
      </c>
      <c r="B148" s="245">
        <f>59*B17</f>
        <v>54693</v>
      </c>
      <c r="C148" s="245"/>
      <c r="D148" s="245"/>
      <c r="E148" s="245"/>
      <c r="F148" s="245"/>
      <c r="G148" s="245"/>
      <c r="H148" s="241">
        <f t="shared" si="284"/>
        <v>54693</v>
      </c>
      <c r="J148" s="245">
        <f>56*J17</f>
        <v>140784</v>
      </c>
      <c r="K148" s="245"/>
      <c r="L148" s="245"/>
      <c r="M148" s="245"/>
      <c r="N148" s="245"/>
      <c r="O148" s="245"/>
      <c r="P148" s="241">
        <f t="shared" si="285"/>
        <v>140784</v>
      </c>
      <c r="R148" s="245">
        <f>44*R17</f>
        <v>45320</v>
      </c>
      <c r="S148" s="245"/>
      <c r="T148" s="245"/>
      <c r="U148" s="245"/>
      <c r="V148" s="245"/>
      <c r="W148" s="245"/>
      <c r="X148" s="241">
        <f t="shared" si="286"/>
        <v>45320</v>
      </c>
      <c r="Z148" s="245">
        <f>44*Z17</f>
        <v>52712</v>
      </c>
      <c r="AA148" s="245"/>
      <c r="AB148" s="245"/>
      <c r="AC148" s="245"/>
      <c r="AD148" s="245"/>
      <c r="AE148" s="245"/>
      <c r="AF148" s="241">
        <f t="shared" si="287"/>
        <v>52712</v>
      </c>
      <c r="AH148" s="245">
        <f>74*AH17</f>
        <v>185592</v>
      </c>
      <c r="AI148" s="245"/>
      <c r="AJ148" s="245"/>
      <c r="AK148" s="245"/>
      <c r="AL148" s="245"/>
      <c r="AM148" s="245"/>
      <c r="AN148" s="241">
        <f t="shared" si="288"/>
        <v>185592</v>
      </c>
      <c r="AP148" s="245">
        <f>55*AP17</f>
        <v>50600</v>
      </c>
      <c r="AQ148" s="245"/>
      <c r="AR148" s="245"/>
      <c r="AS148" s="245"/>
      <c r="AT148" s="245"/>
      <c r="AU148" s="245"/>
      <c r="AV148" s="241">
        <f t="shared" si="289"/>
        <v>50600</v>
      </c>
      <c r="AX148" s="245">
        <v>0</v>
      </c>
      <c r="AY148" s="245"/>
      <c r="AZ148" s="245"/>
      <c r="BA148" s="245"/>
      <c r="BB148" s="245"/>
      <c r="BC148" s="245"/>
      <c r="BD148" s="241">
        <f t="shared" si="290"/>
        <v>0</v>
      </c>
      <c r="BF148" s="245">
        <f>50*BF17</f>
        <v>0</v>
      </c>
      <c r="BG148" s="245"/>
      <c r="BH148" s="245"/>
      <c r="BI148" s="245"/>
      <c r="BJ148" s="245"/>
      <c r="BK148" s="245"/>
      <c r="BL148" s="241">
        <f t="shared" si="291"/>
        <v>0</v>
      </c>
      <c r="BN148" s="241">
        <f t="shared" si="292"/>
        <v>529701</v>
      </c>
      <c r="BO148" s="241">
        <f t="shared" si="283"/>
        <v>0</v>
      </c>
      <c r="BP148" s="241">
        <f t="shared" si="283"/>
        <v>0</v>
      </c>
      <c r="BQ148" s="241">
        <f t="shared" si="283"/>
        <v>0</v>
      </c>
      <c r="BR148" s="241">
        <f t="shared" si="283"/>
        <v>0</v>
      </c>
      <c r="BS148" s="241">
        <f t="shared" si="283"/>
        <v>0</v>
      </c>
      <c r="BT148" s="241">
        <f t="shared" si="293"/>
        <v>529701</v>
      </c>
    </row>
    <row r="149" spans="1:72" x14ac:dyDescent="0.25">
      <c r="A149" s="213"/>
      <c r="B149" s="258">
        <f>SUM(B144:B148)</f>
        <v>121437</v>
      </c>
      <c r="C149" s="258">
        <f t="shared" ref="C149:H149" si="294">SUM(C144:C148)</f>
        <v>0</v>
      </c>
      <c r="D149" s="258">
        <f t="shared" si="294"/>
        <v>0</v>
      </c>
      <c r="E149" s="258">
        <f t="shared" si="294"/>
        <v>0</v>
      </c>
      <c r="F149" s="258">
        <f t="shared" si="294"/>
        <v>0</v>
      </c>
      <c r="G149" s="258">
        <f t="shared" si="294"/>
        <v>0</v>
      </c>
      <c r="H149" s="258">
        <f t="shared" si="294"/>
        <v>121437</v>
      </c>
      <c r="J149" s="258">
        <f>SUM(J144:J148)</f>
        <v>481792</v>
      </c>
      <c r="K149" s="258">
        <f t="shared" ref="K149:P149" si="295">SUM(K144:K148)</f>
        <v>0</v>
      </c>
      <c r="L149" s="258">
        <f t="shared" si="295"/>
        <v>0</v>
      </c>
      <c r="M149" s="258">
        <f t="shared" si="295"/>
        <v>0</v>
      </c>
      <c r="N149" s="258">
        <f t="shared" si="295"/>
        <v>0</v>
      </c>
      <c r="O149" s="258">
        <f t="shared" si="295"/>
        <v>0</v>
      </c>
      <c r="P149" s="258">
        <f t="shared" si="295"/>
        <v>481792</v>
      </c>
      <c r="R149" s="258">
        <f>SUM(R144:R148)</f>
        <v>119480</v>
      </c>
      <c r="S149" s="258">
        <f t="shared" ref="S149:X149" si="296">SUM(S144:S148)</f>
        <v>0</v>
      </c>
      <c r="T149" s="258">
        <f t="shared" si="296"/>
        <v>0</v>
      </c>
      <c r="U149" s="258">
        <f t="shared" si="296"/>
        <v>0</v>
      </c>
      <c r="V149" s="258">
        <f t="shared" si="296"/>
        <v>0</v>
      </c>
      <c r="W149" s="258">
        <f t="shared" si="296"/>
        <v>0</v>
      </c>
      <c r="X149" s="258">
        <f t="shared" si="296"/>
        <v>119480</v>
      </c>
      <c r="Z149" s="258">
        <f>SUM(Z144:Z148)</f>
        <v>138968</v>
      </c>
      <c r="AA149" s="258">
        <f t="shared" ref="AA149:AF149" si="297">SUM(AA144:AA148)</f>
        <v>0</v>
      </c>
      <c r="AB149" s="258">
        <f t="shared" si="297"/>
        <v>0</v>
      </c>
      <c r="AC149" s="258">
        <f t="shared" si="297"/>
        <v>0</v>
      </c>
      <c r="AD149" s="258">
        <f t="shared" si="297"/>
        <v>0</v>
      </c>
      <c r="AE149" s="258">
        <f t="shared" si="297"/>
        <v>0</v>
      </c>
      <c r="AF149" s="258">
        <f t="shared" si="297"/>
        <v>138968</v>
      </c>
      <c r="AH149" s="258">
        <f>SUM(AH144:AH148)</f>
        <v>546168</v>
      </c>
      <c r="AI149" s="258">
        <f t="shared" ref="AI149:AN149" si="298">SUM(AI144:AI148)</f>
        <v>0</v>
      </c>
      <c r="AJ149" s="258">
        <f t="shared" si="298"/>
        <v>0</v>
      </c>
      <c r="AK149" s="258">
        <f t="shared" si="298"/>
        <v>0</v>
      </c>
      <c r="AL149" s="258">
        <f t="shared" si="298"/>
        <v>0</v>
      </c>
      <c r="AM149" s="258">
        <f t="shared" si="298"/>
        <v>0</v>
      </c>
      <c r="AN149" s="258">
        <f t="shared" si="298"/>
        <v>546168</v>
      </c>
      <c r="AP149" s="258">
        <f>SUM(AP144:AP148)</f>
        <v>115000</v>
      </c>
      <c r="AQ149" s="258">
        <f t="shared" ref="AQ149:AV149" si="299">SUM(AQ144:AQ148)</f>
        <v>0</v>
      </c>
      <c r="AR149" s="258">
        <f t="shared" si="299"/>
        <v>0</v>
      </c>
      <c r="AS149" s="258">
        <f t="shared" si="299"/>
        <v>0</v>
      </c>
      <c r="AT149" s="258">
        <f t="shared" si="299"/>
        <v>0</v>
      </c>
      <c r="AU149" s="258">
        <f t="shared" si="299"/>
        <v>0</v>
      </c>
      <c r="AV149" s="258">
        <f t="shared" si="299"/>
        <v>115000</v>
      </c>
      <c r="AX149" s="258">
        <f>SUM(AX144:AX148)</f>
        <v>9646</v>
      </c>
      <c r="AY149" s="258">
        <f t="shared" ref="AY149:BD149" si="300">SUM(AY144:AY148)</f>
        <v>0</v>
      </c>
      <c r="AZ149" s="258">
        <f t="shared" si="300"/>
        <v>0</v>
      </c>
      <c r="BA149" s="258">
        <f t="shared" si="300"/>
        <v>0</v>
      </c>
      <c r="BB149" s="258">
        <f t="shared" si="300"/>
        <v>0</v>
      </c>
      <c r="BC149" s="258">
        <f t="shared" si="300"/>
        <v>0</v>
      </c>
      <c r="BD149" s="258">
        <f t="shared" si="300"/>
        <v>9646</v>
      </c>
      <c r="BF149" s="258">
        <f>SUM(BF144:BF148)</f>
        <v>0</v>
      </c>
      <c r="BG149" s="258">
        <f t="shared" ref="BG149:BL149" si="301">SUM(BG144:BG148)</f>
        <v>0</v>
      </c>
      <c r="BH149" s="258">
        <f t="shared" si="301"/>
        <v>0</v>
      </c>
      <c r="BI149" s="258">
        <f t="shared" si="301"/>
        <v>0</v>
      </c>
      <c r="BJ149" s="258">
        <f t="shared" si="301"/>
        <v>0</v>
      </c>
      <c r="BK149" s="258">
        <f t="shared" si="301"/>
        <v>0</v>
      </c>
      <c r="BL149" s="258">
        <f t="shared" si="301"/>
        <v>0</v>
      </c>
      <c r="BN149" s="258">
        <f>SUM(BN144:BN148)</f>
        <v>1532491</v>
      </c>
      <c r="BO149" s="258">
        <f t="shared" ref="BO149:BT149" si="302">SUM(BO144:BO148)</f>
        <v>0</v>
      </c>
      <c r="BP149" s="258">
        <f t="shared" si="302"/>
        <v>0</v>
      </c>
      <c r="BQ149" s="258">
        <f t="shared" si="302"/>
        <v>0</v>
      </c>
      <c r="BR149" s="258">
        <f t="shared" si="302"/>
        <v>0</v>
      </c>
      <c r="BS149" s="258">
        <f t="shared" si="302"/>
        <v>0</v>
      </c>
      <c r="BT149" s="258">
        <f t="shared" si="302"/>
        <v>1532491</v>
      </c>
    </row>
    <row r="150" spans="1:72" x14ac:dyDescent="0.25">
      <c r="B150" s="259"/>
      <c r="C150" s="259"/>
      <c r="D150" s="259"/>
      <c r="E150" s="259"/>
      <c r="F150" s="259"/>
      <c r="G150" s="259"/>
      <c r="H150" s="259"/>
      <c r="J150" s="259"/>
      <c r="K150" s="259"/>
      <c r="L150" s="259"/>
      <c r="M150" s="259"/>
      <c r="N150" s="259"/>
      <c r="O150" s="259"/>
      <c r="P150" s="259"/>
      <c r="R150" s="259"/>
      <c r="S150" s="259"/>
      <c r="T150" s="259"/>
      <c r="U150" s="259"/>
      <c r="V150" s="259"/>
      <c r="W150" s="259"/>
      <c r="X150" s="259"/>
      <c r="Z150" s="259"/>
      <c r="AA150" s="259"/>
      <c r="AB150" s="259"/>
      <c r="AC150" s="259"/>
      <c r="AD150" s="259"/>
      <c r="AE150" s="259"/>
      <c r="AF150" s="259"/>
      <c r="AH150" s="259"/>
      <c r="AI150" s="259"/>
      <c r="AJ150" s="259"/>
      <c r="AK150" s="259"/>
      <c r="AL150" s="259"/>
      <c r="AM150" s="259"/>
      <c r="AN150" s="259"/>
      <c r="AP150" s="259"/>
      <c r="AQ150" s="259"/>
      <c r="AR150" s="259"/>
      <c r="AS150" s="259"/>
      <c r="AT150" s="259"/>
      <c r="AU150" s="259"/>
      <c r="AV150" s="259"/>
      <c r="AX150" s="259"/>
      <c r="AY150" s="259"/>
      <c r="AZ150" s="259"/>
      <c r="BA150" s="259"/>
      <c r="BB150" s="259"/>
      <c r="BC150" s="259"/>
      <c r="BD150" s="259"/>
      <c r="BF150" s="259"/>
      <c r="BG150" s="259"/>
      <c r="BH150" s="259"/>
      <c r="BI150" s="259"/>
      <c r="BJ150" s="259"/>
      <c r="BK150" s="259"/>
      <c r="BL150" s="259"/>
      <c r="BN150" s="259"/>
      <c r="BO150" s="259"/>
      <c r="BP150" s="259"/>
      <c r="BQ150" s="259"/>
      <c r="BR150" s="259"/>
      <c r="BS150" s="259"/>
      <c r="BT150" s="259"/>
    </row>
    <row r="151" spans="1:72" x14ac:dyDescent="0.25">
      <c r="A151" s="208" t="s">
        <v>334</v>
      </c>
      <c r="B151" s="260" t="s">
        <v>309</v>
      </c>
      <c r="C151" s="260" t="s">
        <v>310</v>
      </c>
      <c r="D151" s="260" t="s">
        <v>311</v>
      </c>
      <c r="E151" s="260" t="str">
        <f>E134</f>
        <v>Other</v>
      </c>
      <c r="F151" s="260" t="s">
        <v>315</v>
      </c>
      <c r="G151" s="260" t="s">
        <v>314</v>
      </c>
      <c r="H151" s="260" t="str">
        <f>H143</f>
        <v>Horizon</v>
      </c>
      <c r="J151" s="260" t="s">
        <v>309</v>
      </c>
      <c r="K151" s="260" t="s">
        <v>310</v>
      </c>
      <c r="L151" s="260" t="s">
        <v>311</v>
      </c>
      <c r="M151" s="260" t="str">
        <f>M134</f>
        <v>Other</v>
      </c>
      <c r="N151" s="260" t="s">
        <v>315</v>
      </c>
      <c r="O151" s="260" t="s">
        <v>314</v>
      </c>
      <c r="P151" s="260" t="str">
        <f>P143</f>
        <v>Cadence</v>
      </c>
      <c r="R151" s="260" t="s">
        <v>309</v>
      </c>
      <c r="S151" s="260" t="s">
        <v>310</v>
      </c>
      <c r="T151" s="260" t="s">
        <v>311</v>
      </c>
      <c r="U151" s="260" t="str">
        <f>U134</f>
        <v>Other</v>
      </c>
      <c r="V151" s="260" t="s">
        <v>315</v>
      </c>
      <c r="W151" s="260" t="s">
        <v>314</v>
      </c>
      <c r="X151" s="260" t="str">
        <f>X143</f>
        <v>St. Rose</v>
      </c>
      <c r="Z151" s="260" t="s">
        <v>309</v>
      </c>
      <c r="AA151" s="260" t="s">
        <v>310</v>
      </c>
      <c r="AB151" s="260" t="s">
        <v>311</v>
      </c>
      <c r="AC151" s="260" t="str">
        <f>AC134</f>
        <v>Other</v>
      </c>
      <c r="AD151" s="260" t="s">
        <v>315</v>
      </c>
      <c r="AE151" s="260" t="s">
        <v>314</v>
      </c>
      <c r="AF151" s="260" t="str">
        <f>AF143</f>
        <v>Inspirada</v>
      </c>
      <c r="AH151" s="260" t="s">
        <v>309</v>
      </c>
      <c r="AI151" s="260" t="s">
        <v>310</v>
      </c>
      <c r="AJ151" s="260" t="s">
        <v>311</v>
      </c>
      <c r="AK151" s="260" t="str">
        <f>AK134</f>
        <v>Other</v>
      </c>
      <c r="AL151" s="260" t="s">
        <v>315</v>
      </c>
      <c r="AM151" s="260" t="s">
        <v>314</v>
      </c>
      <c r="AN151" s="260" t="str">
        <f>AN143</f>
        <v>Sloan</v>
      </c>
      <c r="AP151" s="260" t="s">
        <v>309</v>
      </c>
      <c r="AQ151" s="260" t="s">
        <v>310</v>
      </c>
      <c r="AR151" s="260" t="s">
        <v>311</v>
      </c>
      <c r="AS151" s="260" t="str">
        <f>AS134</f>
        <v>Other</v>
      </c>
      <c r="AT151" s="260" t="s">
        <v>315</v>
      </c>
      <c r="AU151" s="260" t="s">
        <v>314</v>
      </c>
      <c r="AV151" s="260" t="str">
        <f>AV143</f>
        <v>Springs</v>
      </c>
      <c r="AX151" s="260" t="s">
        <v>309</v>
      </c>
      <c r="AY151" s="260" t="s">
        <v>310</v>
      </c>
      <c r="AZ151" s="260" t="s">
        <v>311</v>
      </c>
      <c r="BA151" s="260" t="str">
        <f>BA134</f>
        <v>Other</v>
      </c>
      <c r="BB151" s="260" t="s">
        <v>315</v>
      </c>
      <c r="BC151" s="260" t="s">
        <v>314</v>
      </c>
      <c r="BD151" s="260" t="str">
        <f>BD143</f>
        <v>Virtual</v>
      </c>
      <c r="BF151" s="260" t="s">
        <v>309</v>
      </c>
      <c r="BG151" s="260" t="s">
        <v>310</v>
      </c>
      <c r="BH151" s="260" t="s">
        <v>311</v>
      </c>
      <c r="BI151" s="260" t="str">
        <f>BI134</f>
        <v>Other</v>
      </c>
      <c r="BJ151" s="260" t="s">
        <v>315</v>
      </c>
      <c r="BK151" s="260" t="s">
        <v>314</v>
      </c>
      <c r="BL151" s="260" t="str">
        <f>BL143</f>
        <v>Central</v>
      </c>
      <c r="BN151" s="260" t="s">
        <v>309</v>
      </c>
      <c r="BO151" s="260" t="s">
        <v>310</v>
      </c>
      <c r="BP151" s="260" t="s">
        <v>311</v>
      </c>
      <c r="BQ151" s="260" t="str">
        <f>BQ134</f>
        <v>Other</v>
      </c>
      <c r="BR151" s="260" t="s">
        <v>315</v>
      </c>
      <c r="BS151" s="260" t="s">
        <v>314</v>
      </c>
      <c r="BT151" s="260" t="str">
        <f>BT143</f>
        <v>System</v>
      </c>
    </row>
    <row r="152" spans="1:72" x14ac:dyDescent="0.25">
      <c r="A152" s="214" t="s">
        <v>262</v>
      </c>
      <c r="B152" s="257">
        <f>8500*1.03*1.02*1.02*1.02</f>
        <v>9290.876040000001</v>
      </c>
      <c r="C152" s="257"/>
      <c r="D152" s="257"/>
      <c r="E152" s="257"/>
      <c r="F152" s="257"/>
      <c r="G152" s="257"/>
      <c r="H152" s="257">
        <f>SUM(B152:G152)</f>
        <v>9290.876040000001</v>
      </c>
      <c r="J152" s="257">
        <f>((6500*3)+3000)*1.03*1.03*1.03*1.03</f>
        <v>25323.948225000004</v>
      </c>
      <c r="K152" s="257"/>
      <c r="L152" s="257"/>
      <c r="M152" s="257"/>
      <c r="N152" s="257"/>
      <c r="O152" s="257"/>
      <c r="P152" s="257">
        <f>SUM(J152:O152)</f>
        <v>25323.948225000004</v>
      </c>
      <c r="R152" s="257">
        <f>(6500*2)*1.03*1.02*1.02*1.02</f>
        <v>14209.575120000001</v>
      </c>
      <c r="S152" s="257"/>
      <c r="T152" s="257"/>
      <c r="U152" s="257"/>
      <c r="V152" s="257"/>
      <c r="W152" s="257"/>
      <c r="X152" s="257">
        <f>SUM(R152:W152)</f>
        <v>14209.575120000001</v>
      </c>
      <c r="Z152" s="257">
        <f>(6500*2)*1.03*1.02*1.02*1.02</f>
        <v>14209.575120000001</v>
      </c>
      <c r="AA152" s="257"/>
      <c r="AB152" s="257"/>
      <c r="AC152" s="257"/>
      <c r="AD152" s="257"/>
      <c r="AE152" s="257"/>
      <c r="AF152" s="257">
        <f>SUM(Z152:AE152)</f>
        <v>14209.575120000001</v>
      </c>
      <c r="AH152" s="257">
        <f>((6500*3)*1.03*1.03*1.03*1.02)+3000</f>
        <v>24734.340030000003</v>
      </c>
      <c r="AI152" s="257"/>
      <c r="AJ152" s="257"/>
      <c r="AK152" s="257"/>
      <c r="AL152" s="257"/>
      <c r="AM152" s="257"/>
      <c r="AN152" s="257">
        <f>SUM(AH152:AM152)</f>
        <v>24734.340030000003</v>
      </c>
      <c r="AP152" s="257">
        <f>6500*1.03*1.03*1.02</f>
        <v>7033.7670000000007</v>
      </c>
      <c r="AQ152" s="257"/>
      <c r="AR152" s="257"/>
      <c r="AS152" s="257"/>
      <c r="AT152" s="257"/>
      <c r="AU152" s="257"/>
      <c r="AV152" s="257">
        <f>SUM(AP152:AU152)</f>
        <v>7033.7670000000007</v>
      </c>
      <c r="AX152" s="257">
        <f>(6500*2)*1.03*1.03*1.03*1.02</f>
        <v>14489.560020000001</v>
      </c>
      <c r="AY152" s="257"/>
      <c r="AZ152" s="257"/>
      <c r="BA152" s="257"/>
      <c r="BB152" s="257"/>
      <c r="BC152" s="257"/>
      <c r="BD152" s="257">
        <f>SUM(AX152:BC152)</f>
        <v>14489.560020000001</v>
      </c>
      <c r="BF152" s="241"/>
      <c r="BG152" s="257"/>
      <c r="BH152" s="257"/>
      <c r="BI152" s="257"/>
      <c r="BJ152" s="257"/>
      <c r="BK152" s="257"/>
      <c r="BL152" s="257">
        <f>SUM(BF152:BK152)</f>
        <v>0</v>
      </c>
      <c r="BN152" s="241">
        <f>B152+J152+R152+Z152+AH152+AP152+AX152+BF152</f>
        <v>109291.64155500002</v>
      </c>
      <c r="BO152" s="241">
        <f t="shared" ref="BO152:BS158" si="303">C152+K152+S152+AA152+AI152+AQ152+AY152+BG152</f>
        <v>0</v>
      </c>
      <c r="BP152" s="241">
        <f t="shared" si="303"/>
        <v>0</v>
      </c>
      <c r="BQ152" s="241">
        <f t="shared" si="303"/>
        <v>0</v>
      </c>
      <c r="BR152" s="241">
        <f t="shared" si="303"/>
        <v>0</v>
      </c>
      <c r="BS152" s="241">
        <f t="shared" si="303"/>
        <v>0</v>
      </c>
      <c r="BT152" s="257">
        <f>SUM(BN152:BS152)</f>
        <v>109291.64155500002</v>
      </c>
    </row>
    <row r="153" spans="1:72" x14ac:dyDescent="0.25">
      <c r="A153" s="211" t="s">
        <v>263</v>
      </c>
      <c r="B153" s="244"/>
      <c r="C153" s="244">
        <f>(475*B17)</f>
        <v>440325</v>
      </c>
      <c r="D153" s="244"/>
      <c r="E153" s="244"/>
      <c r="F153" s="244"/>
      <c r="G153" s="244"/>
      <c r="H153" s="257">
        <f t="shared" ref="H153:H158" si="304">SUM(B153:G153)</f>
        <v>440325</v>
      </c>
      <c r="J153" s="244"/>
      <c r="K153" s="244">
        <f>(175*J17)</f>
        <v>439950</v>
      </c>
      <c r="L153" s="244"/>
      <c r="M153" s="244"/>
      <c r="N153" s="244"/>
      <c r="O153" s="244"/>
      <c r="P153" s="257">
        <f t="shared" ref="P153:P158" si="305">SUM(J153:O153)</f>
        <v>439950</v>
      </c>
      <c r="R153" s="244"/>
      <c r="S153" s="244">
        <f>(195*R17)</f>
        <v>200850</v>
      </c>
      <c r="T153" s="244"/>
      <c r="U153" s="244"/>
      <c r="V153" s="244"/>
      <c r="W153" s="244"/>
      <c r="X153" s="257">
        <f t="shared" ref="X153:X158" si="306">SUM(R153:W153)</f>
        <v>200850</v>
      </c>
      <c r="Z153" s="244"/>
      <c r="AA153" s="244">
        <f>(105*Z17)</f>
        <v>125790</v>
      </c>
      <c r="AB153" s="244"/>
      <c r="AC153" s="244"/>
      <c r="AD153" s="244"/>
      <c r="AE153" s="244"/>
      <c r="AF153" s="257">
        <f t="shared" ref="AF153:AF158" si="307">SUM(Z153:AE153)</f>
        <v>125790</v>
      </c>
      <c r="AH153" s="244"/>
      <c r="AI153" s="244">
        <f>(195*AH17)</f>
        <v>489060</v>
      </c>
      <c r="AJ153" s="244"/>
      <c r="AK153" s="244"/>
      <c r="AL153" s="244"/>
      <c r="AM153" s="244"/>
      <c r="AN153" s="257">
        <f t="shared" ref="AN153:AN158" si="308">SUM(AH153:AM153)</f>
        <v>489060</v>
      </c>
      <c r="AP153" s="244"/>
      <c r="AQ153" s="280">
        <f>(420*AP17)</f>
        <v>386400</v>
      </c>
      <c r="AR153" s="244"/>
      <c r="AS153" s="244"/>
      <c r="AT153" s="244"/>
      <c r="AU153" s="244"/>
      <c r="AV153" s="257">
        <f t="shared" ref="AV153:AV158" si="309">SUM(AP153:AU153)</f>
        <v>386400</v>
      </c>
      <c r="AX153" s="244"/>
      <c r="AY153" s="280">
        <f>(310*AX17)</f>
        <v>56420</v>
      </c>
      <c r="AZ153" s="244"/>
      <c r="BA153" s="244"/>
      <c r="BB153" s="244"/>
      <c r="BC153" s="244"/>
      <c r="BD153" s="257">
        <f t="shared" ref="BD153:BD158" si="310">SUM(AX153:BC153)</f>
        <v>56420</v>
      </c>
      <c r="BF153" s="244"/>
      <c r="BG153" s="244"/>
      <c r="BH153" s="244"/>
      <c r="BI153" s="244"/>
      <c r="BJ153" s="244"/>
      <c r="BK153" s="244"/>
      <c r="BL153" s="257">
        <f t="shared" ref="BL153:BL158" si="311">SUM(BF153:BK153)</f>
        <v>0</v>
      </c>
      <c r="BN153" s="241">
        <f t="shared" ref="BN153:BN158" si="312">B153+J153+R153+Z153+AH153+AP153+AX153+BF153</f>
        <v>0</v>
      </c>
      <c r="BO153" s="241">
        <f t="shared" si="303"/>
        <v>2138795</v>
      </c>
      <c r="BP153" s="241">
        <f t="shared" si="303"/>
        <v>0</v>
      </c>
      <c r="BQ153" s="241">
        <f t="shared" si="303"/>
        <v>0</v>
      </c>
      <c r="BR153" s="241">
        <f t="shared" si="303"/>
        <v>0</v>
      </c>
      <c r="BS153" s="241">
        <f t="shared" si="303"/>
        <v>0</v>
      </c>
      <c r="BT153" s="257">
        <f t="shared" ref="BT153:BT158" si="313">SUM(BN153:BS153)</f>
        <v>2138795</v>
      </c>
    </row>
    <row r="154" spans="1:72" x14ac:dyDescent="0.25">
      <c r="A154" s="211" t="s">
        <v>325</v>
      </c>
      <c r="B154" s="244">
        <f>(225*11*B36)-B124</f>
        <v>68850</v>
      </c>
      <c r="C154" s="244">
        <f>(225*11*C36)-C124</f>
        <v>12375</v>
      </c>
      <c r="D154" s="244">
        <f>(195*11*D36)-D124</f>
        <v>0</v>
      </c>
      <c r="E154" s="244">
        <f>(195*11*E36)-E124</f>
        <v>0</v>
      </c>
      <c r="F154" s="244">
        <f>(195*11*F34)-F124</f>
        <v>0</v>
      </c>
      <c r="G154" s="244">
        <f>(195*11*G34)-G124</f>
        <v>0</v>
      </c>
      <c r="H154" s="257">
        <f t="shared" si="304"/>
        <v>81225</v>
      </c>
      <c r="J154" s="244">
        <f>(230*11*J36)-J124</f>
        <v>150230</v>
      </c>
      <c r="K154" s="244">
        <f>(230*11*K36)-K124</f>
        <v>32890</v>
      </c>
      <c r="L154" s="244">
        <f>(195*11*L36)-L124</f>
        <v>0</v>
      </c>
      <c r="M154" s="244">
        <f>(195*11*M36)-M124</f>
        <v>0</v>
      </c>
      <c r="N154" s="244">
        <f>(195*11*N34)-N124</f>
        <v>0</v>
      </c>
      <c r="O154" s="244">
        <f>(195*11*O34)-O124</f>
        <v>0</v>
      </c>
      <c r="P154" s="257">
        <f t="shared" si="305"/>
        <v>183120</v>
      </c>
      <c r="R154" s="244">
        <f>(230*11*R36)-R124</f>
        <v>76220</v>
      </c>
      <c r="S154" s="244">
        <f>(230*11*S36)-S124</f>
        <v>10120</v>
      </c>
      <c r="T154" s="244">
        <f>(195*11*T36)-T124</f>
        <v>0</v>
      </c>
      <c r="U154" s="244">
        <f>(195*11*U36)-U124</f>
        <v>0</v>
      </c>
      <c r="V154" s="244">
        <f>(195*11*V34)-V124</f>
        <v>0</v>
      </c>
      <c r="W154" s="244">
        <f>(195*11*W34)-W124</f>
        <v>0</v>
      </c>
      <c r="X154" s="257">
        <f t="shared" si="306"/>
        <v>86340</v>
      </c>
      <c r="Z154" s="244">
        <f>(230*11*Z36)-Z124</f>
        <v>71480</v>
      </c>
      <c r="AA154" s="244">
        <f>(230*11*AA36)-AA124</f>
        <v>12650</v>
      </c>
      <c r="AB154" s="244">
        <f>(195*11*AB36)-AB124</f>
        <v>0</v>
      </c>
      <c r="AC154" s="244">
        <f>(195*11*AC36)-AC124</f>
        <v>0</v>
      </c>
      <c r="AD154" s="244">
        <f>(195*11*AD34)-AD124</f>
        <v>0</v>
      </c>
      <c r="AE154" s="244">
        <f>(195*11*AE34)-AE124</f>
        <v>0</v>
      </c>
      <c r="AF154" s="257">
        <f t="shared" si="307"/>
        <v>84130</v>
      </c>
      <c r="AH154" s="244">
        <f>(230*11*AH36)-AH124</f>
        <v>115130</v>
      </c>
      <c r="AI154" s="244">
        <f>(230*11*AI36)-AI124</f>
        <v>32890</v>
      </c>
      <c r="AJ154" s="244">
        <f>(195*11*AJ36)-AJ124</f>
        <v>0</v>
      </c>
      <c r="AK154" s="244">
        <f>(195*11*AK36)-AK124</f>
        <v>0</v>
      </c>
      <c r="AL154" s="244">
        <f>(195*11*AL34)-AL124</f>
        <v>0</v>
      </c>
      <c r="AM154" s="244">
        <f>(195*11*AM34)-AM124</f>
        <v>0</v>
      </c>
      <c r="AN154" s="257">
        <f t="shared" si="308"/>
        <v>148020</v>
      </c>
      <c r="AP154" s="244">
        <f>(230*11*AP36)-AP124</f>
        <v>96140</v>
      </c>
      <c r="AQ154" s="244">
        <f>(230*11*AQ36)-AQ124</f>
        <v>10120</v>
      </c>
      <c r="AR154" s="244">
        <f>(195*11*AR36)-AR124</f>
        <v>0</v>
      </c>
      <c r="AS154" s="244">
        <f>(195*11*AS36)-AS124</f>
        <v>0</v>
      </c>
      <c r="AT154" s="244">
        <f>(195*11*AT34)-AT124</f>
        <v>0</v>
      </c>
      <c r="AU154" s="244">
        <f>(195*11*AU34)-AU124</f>
        <v>0</v>
      </c>
      <c r="AV154" s="257">
        <f t="shared" si="309"/>
        <v>106260</v>
      </c>
      <c r="AX154" s="244">
        <f>(225*11*AX36)-AX124</f>
        <v>0</v>
      </c>
      <c r="AY154" s="244">
        <f>(230*11*AY36)-AY124</f>
        <v>2530</v>
      </c>
      <c r="AZ154" s="244">
        <f>(195*11*AZ36)-AZ124</f>
        <v>0</v>
      </c>
      <c r="BA154" s="244">
        <f>(195*11*BA36)-BA124</f>
        <v>0</v>
      </c>
      <c r="BB154" s="244">
        <f>(195*11*BB34)-BB124</f>
        <v>0</v>
      </c>
      <c r="BC154" s="244">
        <f>(195*11*BC34)-BC124</f>
        <v>0</v>
      </c>
      <c r="BD154" s="257">
        <f t="shared" si="310"/>
        <v>2530</v>
      </c>
      <c r="BF154" s="244"/>
      <c r="BG154" s="244"/>
      <c r="BH154" s="244"/>
      <c r="BI154" s="244"/>
      <c r="BJ154" s="244"/>
      <c r="BK154" s="244"/>
      <c r="BL154" s="257">
        <f t="shared" si="311"/>
        <v>0</v>
      </c>
      <c r="BN154" s="241">
        <f t="shared" si="312"/>
        <v>578050</v>
      </c>
      <c r="BO154" s="241">
        <f t="shared" si="303"/>
        <v>113575</v>
      </c>
      <c r="BP154" s="241">
        <f t="shared" si="303"/>
        <v>0</v>
      </c>
      <c r="BQ154" s="241">
        <f t="shared" si="303"/>
        <v>0</v>
      </c>
      <c r="BR154" s="241">
        <f t="shared" si="303"/>
        <v>0</v>
      </c>
      <c r="BS154" s="241">
        <f t="shared" si="303"/>
        <v>0</v>
      </c>
      <c r="BT154" s="257">
        <f t="shared" si="313"/>
        <v>691625</v>
      </c>
    </row>
    <row r="155" spans="1:72" x14ac:dyDescent="0.25">
      <c r="A155" s="211" t="s">
        <v>264</v>
      </c>
      <c r="B155" s="244"/>
      <c r="C155" s="244"/>
      <c r="D155" s="244"/>
      <c r="E155" s="244"/>
      <c r="F155" s="244"/>
      <c r="G155" s="244"/>
      <c r="H155" s="257">
        <f t="shared" si="304"/>
        <v>0</v>
      </c>
      <c r="J155" s="244"/>
      <c r="K155" s="244"/>
      <c r="L155" s="244"/>
      <c r="M155" s="244"/>
      <c r="N155" s="244"/>
      <c r="O155" s="244"/>
      <c r="P155" s="257">
        <f t="shared" si="305"/>
        <v>0</v>
      </c>
      <c r="R155" s="244"/>
      <c r="S155" s="244"/>
      <c r="T155" s="244"/>
      <c r="U155" s="244"/>
      <c r="V155" s="244"/>
      <c r="W155" s="244"/>
      <c r="X155" s="257">
        <f t="shared" si="306"/>
        <v>0</v>
      </c>
      <c r="Z155" s="244"/>
      <c r="AA155" s="244"/>
      <c r="AB155" s="244"/>
      <c r="AC155" s="244"/>
      <c r="AD155" s="244"/>
      <c r="AE155" s="244"/>
      <c r="AF155" s="257">
        <f t="shared" si="307"/>
        <v>0</v>
      </c>
      <c r="AH155" s="244"/>
      <c r="AI155" s="244"/>
      <c r="AJ155" s="244"/>
      <c r="AK155" s="244"/>
      <c r="AL155" s="244"/>
      <c r="AM155" s="244"/>
      <c r="AN155" s="257">
        <f t="shared" si="308"/>
        <v>0</v>
      </c>
      <c r="AP155" s="244"/>
      <c r="AQ155" s="244"/>
      <c r="AR155" s="244"/>
      <c r="AS155" s="244"/>
      <c r="AT155" s="244"/>
      <c r="AU155" s="244"/>
      <c r="AV155" s="257">
        <f t="shared" si="309"/>
        <v>0</v>
      </c>
      <c r="AX155" s="244">
        <f>(145*12)*AX17</f>
        <v>316680</v>
      </c>
      <c r="AY155" s="244"/>
      <c r="AZ155" s="244"/>
      <c r="BA155" s="244"/>
      <c r="BB155" s="244"/>
      <c r="BC155" s="244"/>
      <c r="BD155" s="257">
        <f t="shared" si="310"/>
        <v>316680</v>
      </c>
      <c r="BF155" s="244"/>
      <c r="BG155" s="244"/>
      <c r="BH155" s="244"/>
      <c r="BI155" s="244"/>
      <c r="BJ155" s="244"/>
      <c r="BK155" s="244"/>
      <c r="BL155" s="257">
        <f t="shared" si="311"/>
        <v>0</v>
      </c>
      <c r="BN155" s="241">
        <f t="shared" si="312"/>
        <v>316680</v>
      </c>
      <c r="BO155" s="241">
        <f t="shared" si="303"/>
        <v>0</v>
      </c>
      <c r="BP155" s="241">
        <f t="shared" si="303"/>
        <v>0</v>
      </c>
      <c r="BQ155" s="241">
        <f t="shared" si="303"/>
        <v>0</v>
      </c>
      <c r="BR155" s="241">
        <f t="shared" si="303"/>
        <v>0</v>
      </c>
      <c r="BS155" s="241">
        <f t="shared" si="303"/>
        <v>0</v>
      </c>
      <c r="BT155" s="257">
        <f t="shared" si="313"/>
        <v>316680</v>
      </c>
    </row>
    <row r="156" spans="1:72" x14ac:dyDescent="0.25">
      <c r="A156" s="211" t="s">
        <v>265</v>
      </c>
      <c r="B156" s="244">
        <f>B68*0.005</f>
        <v>46002.375</v>
      </c>
      <c r="C156" s="244"/>
      <c r="D156" s="244"/>
      <c r="E156" s="244"/>
      <c r="F156" s="244"/>
      <c r="G156" s="244"/>
      <c r="H156" s="257">
        <f t="shared" si="304"/>
        <v>46002.375</v>
      </c>
      <c r="J156" s="244">
        <f>J68*0.005</f>
        <v>124757.25</v>
      </c>
      <c r="K156" s="244"/>
      <c r="L156" s="244"/>
      <c r="M156" s="244"/>
      <c r="N156" s="244"/>
      <c r="O156" s="244"/>
      <c r="P156" s="257">
        <f t="shared" si="305"/>
        <v>124757.25</v>
      </c>
      <c r="R156" s="244">
        <f>R68*0.005</f>
        <v>51113.75</v>
      </c>
      <c r="S156" s="244"/>
      <c r="T156" s="244"/>
      <c r="U156" s="244"/>
      <c r="V156" s="244"/>
      <c r="W156" s="244"/>
      <c r="X156" s="257">
        <f t="shared" si="306"/>
        <v>51113.75</v>
      </c>
      <c r="Z156" s="244">
        <f>Z68*0.005</f>
        <v>59450.75</v>
      </c>
      <c r="AA156" s="244"/>
      <c r="AB156" s="244"/>
      <c r="AC156" s="244"/>
      <c r="AD156" s="244"/>
      <c r="AE156" s="244"/>
      <c r="AF156" s="257">
        <f t="shared" si="307"/>
        <v>59450.75</v>
      </c>
      <c r="AH156" s="244">
        <f>AH68*0.005</f>
        <v>124459.5</v>
      </c>
      <c r="AI156" s="244"/>
      <c r="AJ156" s="244"/>
      <c r="AK156" s="244"/>
      <c r="AL156" s="244"/>
      <c r="AM156" s="244"/>
      <c r="AN156" s="257">
        <f t="shared" si="308"/>
        <v>124459.5</v>
      </c>
      <c r="AP156" s="244">
        <f>AP68*0.005</f>
        <v>45655</v>
      </c>
      <c r="AQ156" s="244"/>
      <c r="AR156" s="244"/>
      <c r="AS156" s="244"/>
      <c r="AT156" s="244"/>
      <c r="AU156" s="244"/>
      <c r="AV156" s="257">
        <f t="shared" si="309"/>
        <v>45655</v>
      </c>
      <c r="AX156" s="244">
        <f>AX68*0.005</f>
        <v>9031.75</v>
      </c>
      <c r="AY156" s="244"/>
      <c r="AZ156" s="244"/>
      <c r="BA156" s="244"/>
      <c r="BB156" s="244"/>
      <c r="BC156" s="244"/>
      <c r="BD156" s="257">
        <f t="shared" si="310"/>
        <v>9031.75</v>
      </c>
      <c r="BF156" s="244"/>
      <c r="BG156" s="244"/>
      <c r="BH156" s="244"/>
      <c r="BI156" s="244"/>
      <c r="BJ156" s="244"/>
      <c r="BK156" s="244"/>
      <c r="BL156" s="257">
        <f t="shared" si="311"/>
        <v>0</v>
      </c>
      <c r="BN156" s="241">
        <f t="shared" si="312"/>
        <v>460470.375</v>
      </c>
      <c r="BO156" s="241">
        <f t="shared" si="303"/>
        <v>0</v>
      </c>
      <c r="BP156" s="241">
        <f t="shared" si="303"/>
        <v>0</v>
      </c>
      <c r="BQ156" s="241">
        <f t="shared" si="303"/>
        <v>0</v>
      </c>
      <c r="BR156" s="241">
        <f t="shared" si="303"/>
        <v>0</v>
      </c>
      <c r="BS156" s="241">
        <f t="shared" si="303"/>
        <v>0</v>
      </c>
      <c r="BT156" s="257">
        <f t="shared" si="313"/>
        <v>460470.375</v>
      </c>
    </row>
    <row r="157" spans="1:72" x14ac:dyDescent="0.25">
      <c r="A157" s="211" t="s">
        <v>266</v>
      </c>
      <c r="B157" s="244">
        <f>(B68*0.005)</f>
        <v>46002.375</v>
      </c>
      <c r="C157" s="244"/>
      <c r="D157" s="244"/>
      <c r="E157" s="244"/>
      <c r="F157" s="244"/>
      <c r="G157" s="244"/>
      <c r="H157" s="257">
        <f t="shared" si="304"/>
        <v>46002.375</v>
      </c>
      <c r="J157" s="244">
        <f>(J68*0.005)</f>
        <v>124757.25</v>
      </c>
      <c r="K157" s="244"/>
      <c r="L157" s="244"/>
      <c r="M157" s="244"/>
      <c r="N157" s="244"/>
      <c r="O157" s="244"/>
      <c r="P157" s="257">
        <f t="shared" si="305"/>
        <v>124757.25</v>
      </c>
      <c r="R157" s="244">
        <f>(R68*0.005)</f>
        <v>51113.75</v>
      </c>
      <c r="S157" s="244"/>
      <c r="T157" s="244"/>
      <c r="U157" s="244"/>
      <c r="V157" s="244"/>
      <c r="W157" s="244"/>
      <c r="X157" s="257">
        <f t="shared" si="306"/>
        <v>51113.75</v>
      </c>
      <c r="Z157" s="244">
        <f>(Z68*0.005)</f>
        <v>59450.75</v>
      </c>
      <c r="AA157" s="244"/>
      <c r="AB157" s="244"/>
      <c r="AC157" s="244"/>
      <c r="AD157" s="244"/>
      <c r="AE157" s="244"/>
      <c r="AF157" s="257">
        <f t="shared" si="307"/>
        <v>59450.75</v>
      </c>
      <c r="AH157" s="244">
        <f>(AH68*0.005)</f>
        <v>124459.5</v>
      </c>
      <c r="AI157" s="244"/>
      <c r="AJ157" s="244"/>
      <c r="AK157" s="244"/>
      <c r="AL157" s="244"/>
      <c r="AM157" s="244"/>
      <c r="AN157" s="257">
        <f t="shared" si="308"/>
        <v>124459.5</v>
      </c>
      <c r="AP157" s="244">
        <f>(AP68*0.005)</f>
        <v>45655</v>
      </c>
      <c r="AQ157" s="244"/>
      <c r="AR157" s="244"/>
      <c r="AS157" s="244"/>
      <c r="AT157" s="244"/>
      <c r="AU157" s="244"/>
      <c r="AV157" s="257">
        <f t="shared" si="309"/>
        <v>45655</v>
      </c>
      <c r="AX157" s="244">
        <f>(AX68*0.005)</f>
        <v>9031.75</v>
      </c>
      <c r="AY157" s="244"/>
      <c r="AZ157" s="244"/>
      <c r="BA157" s="244"/>
      <c r="BB157" s="244"/>
      <c r="BC157" s="244"/>
      <c r="BD157" s="257">
        <f t="shared" si="310"/>
        <v>9031.75</v>
      </c>
      <c r="BF157" s="244"/>
      <c r="BG157" s="244"/>
      <c r="BH157" s="244"/>
      <c r="BI157" s="244"/>
      <c r="BJ157" s="244"/>
      <c r="BK157" s="244"/>
      <c r="BL157" s="257">
        <f t="shared" si="311"/>
        <v>0</v>
      </c>
      <c r="BN157" s="241">
        <f t="shared" si="312"/>
        <v>460470.375</v>
      </c>
      <c r="BO157" s="241">
        <f t="shared" si="303"/>
        <v>0</v>
      </c>
      <c r="BP157" s="241">
        <f t="shared" si="303"/>
        <v>0</v>
      </c>
      <c r="BQ157" s="241">
        <f t="shared" si="303"/>
        <v>0</v>
      </c>
      <c r="BR157" s="241">
        <f t="shared" si="303"/>
        <v>0</v>
      </c>
      <c r="BS157" s="241">
        <f t="shared" si="303"/>
        <v>0</v>
      </c>
      <c r="BT157" s="257">
        <f t="shared" si="313"/>
        <v>460470.375</v>
      </c>
    </row>
    <row r="158" spans="1:72" x14ac:dyDescent="0.25">
      <c r="A158" s="212" t="s">
        <v>267</v>
      </c>
      <c r="B158" s="245"/>
      <c r="C158" s="245"/>
      <c r="D158" s="245"/>
      <c r="E158" s="245"/>
      <c r="F158" s="245"/>
      <c r="G158" s="245"/>
      <c r="H158" s="257">
        <f t="shared" si="304"/>
        <v>0</v>
      </c>
      <c r="J158" s="245"/>
      <c r="K158" s="245"/>
      <c r="L158" s="245"/>
      <c r="M158" s="245"/>
      <c r="N158" s="245"/>
      <c r="O158" s="245"/>
      <c r="P158" s="257">
        <f t="shared" si="305"/>
        <v>0</v>
      </c>
      <c r="R158" s="245"/>
      <c r="S158" s="245"/>
      <c r="T158" s="245"/>
      <c r="U158" s="245"/>
      <c r="V158" s="245"/>
      <c r="W158" s="245"/>
      <c r="X158" s="257">
        <f t="shared" si="306"/>
        <v>0</v>
      </c>
      <c r="Z158" s="245"/>
      <c r="AA158" s="245"/>
      <c r="AB158" s="245"/>
      <c r="AC158" s="245"/>
      <c r="AD158" s="245"/>
      <c r="AE158" s="245"/>
      <c r="AF158" s="257">
        <f t="shared" si="307"/>
        <v>0</v>
      </c>
      <c r="AH158" s="245"/>
      <c r="AI158" s="245"/>
      <c r="AJ158" s="245"/>
      <c r="AK158" s="245"/>
      <c r="AL158" s="245"/>
      <c r="AM158" s="245"/>
      <c r="AN158" s="257">
        <f t="shared" si="308"/>
        <v>0</v>
      </c>
      <c r="AP158" s="245"/>
      <c r="AQ158" s="245"/>
      <c r="AR158" s="245"/>
      <c r="AS158" s="245"/>
      <c r="AT158" s="245"/>
      <c r="AU158" s="245"/>
      <c r="AV158" s="257">
        <f t="shared" si="309"/>
        <v>0</v>
      </c>
      <c r="AX158" s="245"/>
      <c r="AY158" s="245"/>
      <c r="AZ158" s="245"/>
      <c r="BA158" s="245"/>
      <c r="BB158" s="245"/>
      <c r="BC158" s="245"/>
      <c r="BD158" s="257">
        <f t="shared" si="310"/>
        <v>0</v>
      </c>
      <c r="BF158" s="245"/>
      <c r="BG158" s="245"/>
      <c r="BH158" s="245"/>
      <c r="BI158" s="245"/>
      <c r="BJ158" s="245"/>
      <c r="BK158" s="245"/>
      <c r="BL158" s="257">
        <f t="shared" si="311"/>
        <v>0</v>
      </c>
      <c r="BN158" s="241">
        <f t="shared" si="312"/>
        <v>0</v>
      </c>
      <c r="BO158" s="241">
        <f t="shared" si="303"/>
        <v>0</v>
      </c>
      <c r="BP158" s="241">
        <f t="shared" si="303"/>
        <v>0</v>
      </c>
      <c r="BQ158" s="241">
        <f t="shared" si="303"/>
        <v>0</v>
      </c>
      <c r="BR158" s="241">
        <f t="shared" si="303"/>
        <v>0</v>
      </c>
      <c r="BS158" s="241">
        <f t="shared" si="303"/>
        <v>0</v>
      </c>
      <c r="BT158" s="257">
        <f t="shared" si="313"/>
        <v>0</v>
      </c>
    </row>
    <row r="159" spans="1:72" x14ac:dyDescent="0.25">
      <c r="A159" s="213"/>
      <c r="B159" s="258">
        <f>SUM(B152:B158)</f>
        <v>170145.62604</v>
      </c>
      <c r="C159" s="258">
        <f t="shared" ref="C159:G159" si="314">SUM(C152:C158)</f>
        <v>452700</v>
      </c>
      <c r="D159" s="258">
        <f t="shared" si="314"/>
        <v>0</v>
      </c>
      <c r="E159" s="258">
        <f t="shared" si="314"/>
        <v>0</v>
      </c>
      <c r="F159" s="258">
        <f t="shared" si="314"/>
        <v>0</v>
      </c>
      <c r="G159" s="258">
        <f t="shared" si="314"/>
        <v>0</v>
      </c>
      <c r="H159" s="258">
        <f>SUM(H152:H158)</f>
        <v>622845.62604</v>
      </c>
      <c r="J159" s="258">
        <f>SUM(J152:J158)</f>
        <v>425068.448225</v>
      </c>
      <c r="K159" s="258">
        <f t="shared" ref="K159:O159" si="315">SUM(K152:K158)</f>
        <v>472840</v>
      </c>
      <c r="L159" s="258">
        <f t="shared" si="315"/>
        <v>0</v>
      </c>
      <c r="M159" s="258">
        <f t="shared" si="315"/>
        <v>0</v>
      </c>
      <c r="N159" s="258">
        <f t="shared" si="315"/>
        <v>0</v>
      </c>
      <c r="O159" s="258">
        <f t="shared" si="315"/>
        <v>0</v>
      </c>
      <c r="P159" s="258">
        <f>SUM(P152:P158)</f>
        <v>897908.44822499994</v>
      </c>
      <c r="R159" s="258">
        <f>SUM(R152:R158)</f>
        <v>192657.07511999999</v>
      </c>
      <c r="S159" s="258">
        <f t="shared" ref="S159:W159" si="316">SUM(S152:S158)</f>
        <v>210970</v>
      </c>
      <c r="T159" s="258">
        <f t="shared" si="316"/>
        <v>0</v>
      </c>
      <c r="U159" s="258">
        <f t="shared" si="316"/>
        <v>0</v>
      </c>
      <c r="V159" s="258">
        <f t="shared" si="316"/>
        <v>0</v>
      </c>
      <c r="W159" s="258">
        <f t="shared" si="316"/>
        <v>0</v>
      </c>
      <c r="X159" s="258">
        <f>SUM(X152:X158)</f>
        <v>403627.07511999999</v>
      </c>
      <c r="Z159" s="258">
        <f>SUM(Z152:Z158)</f>
        <v>204591.07511999999</v>
      </c>
      <c r="AA159" s="258">
        <f t="shared" ref="AA159:AE159" si="317">SUM(AA152:AA158)</f>
        <v>138440</v>
      </c>
      <c r="AB159" s="258">
        <f t="shared" si="317"/>
        <v>0</v>
      </c>
      <c r="AC159" s="258">
        <f t="shared" si="317"/>
        <v>0</v>
      </c>
      <c r="AD159" s="258">
        <f t="shared" si="317"/>
        <v>0</v>
      </c>
      <c r="AE159" s="258">
        <f t="shared" si="317"/>
        <v>0</v>
      </c>
      <c r="AF159" s="258">
        <f>SUM(AF152:AF158)</f>
        <v>343031.07511999999</v>
      </c>
      <c r="AH159" s="258">
        <f>SUM(AH152:AH158)</f>
        <v>388783.34002999996</v>
      </c>
      <c r="AI159" s="258">
        <f t="shared" ref="AI159:AM159" si="318">SUM(AI152:AI158)</f>
        <v>521950</v>
      </c>
      <c r="AJ159" s="258">
        <f t="shared" si="318"/>
        <v>0</v>
      </c>
      <c r="AK159" s="258">
        <f t="shared" si="318"/>
        <v>0</v>
      </c>
      <c r="AL159" s="258">
        <f t="shared" si="318"/>
        <v>0</v>
      </c>
      <c r="AM159" s="258">
        <f t="shared" si="318"/>
        <v>0</v>
      </c>
      <c r="AN159" s="258">
        <f>SUM(AN152:AN158)</f>
        <v>910733.34003000008</v>
      </c>
      <c r="AP159" s="258">
        <f>SUM(AP152:AP158)</f>
        <v>194483.76699999999</v>
      </c>
      <c r="AQ159" s="258">
        <f t="shared" ref="AQ159:AU159" si="319">SUM(AQ152:AQ158)</f>
        <v>396520</v>
      </c>
      <c r="AR159" s="258">
        <f t="shared" si="319"/>
        <v>0</v>
      </c>
      <c r="AS159" s="258">
        <f t="shared" si="319"/>
        <v>0</v>
      </c>
      <c r="AT159" s="258">
        <f t="shared" si="319"/>
        <v>0</v>
      </c>
      <c r="AU159" s="258">
        <f t="shared" si="319"/>
        <v>0</v>
      </c>
      <c r="AV159" s="258">
        <f>SUM(AV152:AV158)</f>
        <v>591003.76699999999</v>
      </c>
      <c r="AX159" s="258">
        <f>SUM(AX152:AX158)</f>
        <v>349233.06001999998</v>
      </c>
      <c r="AY159" s="258">
        <f t="shared" ref="AY159:BC159" si="320">SUM(AY152:AY158)</f>
        <v>58950</v>
      </c>
      <c r="AZ159" s="258">
        <f t="shared" si="320"/>
        <v>0</v>
      </c>
      <c r="BA159" s="258">
        <f t="shared" si="320"/>
        <v>0</v>
      </c>
      <c r="BB159" s="258">
        <f t="shared" si="320"/>
        <v>0</v>
      </c>
      <c r="BC159" s="258">
        <f t="shared" si="320"/>
        <v>0</v>
      </c>
      <c r="BD159" s="258">
        <f>SUM(BD152:BD158)</f>
        <v>408183.06001999998</v>
      </c>
      <c r="BF159" s="258">
        <f>SUM(BF152:BF158)</f>
        <v>0</v>
      </c>
      <c r="BG159" s="258">
        <f t="shared" ref="BG159:BK159" si="321">SUM(BG152:BG158)</f>
        <v>0</v>
      </c>
      <c r="BH159" s="258">
        <f t="shared" si="321"/>
        <v>0</v>
      </c>
      <c r="BI159" s="258">
        <f t="shared" si="321"/>
        <v>0</v>
      </c>
      <c r="BJ159" s="258">
        <f t="shared" si="321"/>
        <v>0</v>
      </c>
      <c r="BK159" s="258">
        <f t="shared" si="321"/>
        <v>0</v>
      </c>
      <c r="BL159" s="258">
        <f>SUM(BL152:BL158)</f>
        <v>0</v>
      </c>
      <c r="BN159" s="258">
        <f>SUM(BN152:BN158)</f>
        <v>1924962.3915550001</v>
      </c>
      <c r="BO159" s="258">
        <f t="shared" ref="BO159:BS159" si="322">SUM(BO152:BO158)</f>
        <v>2252370</v>
      </c>
      <c r="BP159" s="258">
        <f t="shared" si="322"/>
        <v>0</v>
      </c>
      <c r="BQ159" s="258">
        <f t="shared" si="322"/>
        <v>0</v>
      </c>
      <c r="BR159" s="258">
        <f t="shared" si="322"/>
        <v>0</v>
      </c>
      <c r="BS159" s="258">
        <f t="shared" si="322"/>
        <v>0</v>
      </c>
      <c r="BT159" s="258">
        <f>SUM(BT152:BT158)</f>
        <v>4177332.3915550001</v>
      </c>
    </row>
    <row r="160" spans="1:72" x14ac:dyDescent="0.25">
      <c r="B160" s="259"/>
      <c r="C160" s="259"/>
      <c r="D160" s="259"/>
      <c r="E160" s="259"/>
      <c r="F160" s="259"/>
      <c r="G160" s="259"/>
      <c r="H160" s="259"/>
      <c r="J160" s="259"/>
      <c r="K160" s="259"/>
      <c r="L160" s="259"/>
      <c r="M160" s="259"/>
      <c r="N160" s="259"/>
      <c r="O160" s="259"/>
      <c r="P160" s="259"/>
      <c r="R160" s="259"/>
      <c r="S160" s="259"/>
      <c r="T160" s="259"/>
      <c r="U160" s="259"/>
      <c r="V160" s="259"/>
      <c r="W160" s="259"/>
      <c r="X160" s="259"/>
      <c r="Z160" s="259"/>
      <c r="AA160" s="259"/>
      <c r="AB160" s="259"/>
      <c r="AC160" s="259"/>
      <c r="AD160" s="259"/>
      <c r="AE160" s="259"/>
      <c r="AF160" s="259"/>
      <c r="AH160" s="259"/>
      <c r="AI160" s="259"/>
      <c r="AJ160" s="259"/>
      <c r="AK160" s="259"/>
      <c r="AL160" s="259"/>
      <c r="AM160" s="259"/>
      <c r="AN160" s="259"/>
      <c r="AP160" s="259"/>
      <c r="AQ160" s="259"/>
      <c r="AR160" s="259"/>
      <c r="AS160" s="259"/>
      <c r="AT160" s="259"/>
      <c r="AU160" s="259"/>
      <c r="AV160" s="259"/>
      <c r="AX160" s="259"/>
      <c r="AY160" s="259"/>
      <c r="AZ160" s="259"/>
      <c r="BA160" s="259"/>
      <c r="BB160" s="259"/>
      <c r="BC160" s="259"/>
      <c r="BD160" s="259"/>
      <c r="BF160" s="259"/>
      <c r="BG160" s="259"/>
      <c r="BH160" s="259"/>
      <c r="BI160" s="259"/>
      <c r="BJ160" s="259"/>
      <c r="BK160" s="259"/>
      <c r="BL160" s="259"/>
      <c r="BN160" s="259"/>
      <c r="BO160" s="259"/>
      <c r="BP160" s="259"/>
      <c r="BQ160" s="259"/>
      <c r="BR160" s="259"/>
      <c r="BS160" s="259"/>
      <c r="BT160" s="259"/>
    </row>
    <row r="161" spans="1:72" x14ac:dyDescent="0.25">
      <c r="A161" s="208" t="s">
        <v>335</v>
      </c>
      <c r="B161" s="260" t="s">
        <v>309</v>
      </c>
      <c r="C161" s="260" t="s">
        <v>310</v>
      </c>
      <c r="D161" s="260" t="s">
        <v>311</v>
      </c>
      <c r="E161" s="260" t="str">
        <f>E151</f>
        <v>Other</v>
      </c>
      <c r="F161" s="260" t="s">
        <v>315</v>
      </c>
      <c r="G161" s="260" t="s">
        <v>314</v>
      </c>
      <c r="H161" s="260" t="str">
        <f>H151</f>
        <v>Horizon</v>
      </c>
      <c r="J161" s="260" t="s">
        <v>309</v>
      </c>
      <c r="K161" s="260" t="s">
        <v>310</v>
      </c>
      <c r="L161" s="260" t="s">
        <v>311</v>
      </c>
      <c r="M161" s="260" t="str">
        <f>M151</f>
        <v>Other</v>
      </c>
      <c r="N161" s="260" t="s">
        <v>315</v>
      </c>
      <c r="O161" s="260" t="s">
        <v>314</v>
      </c>
      <c r="P161" s="260" t="str">
        <f>P151</f>
        <v>Cadence</v>
      </c>
      <c r="R161" s="260" t="s">
        <v>309</v>
      </c>
      <c r="S161" s="260" t="s">
        <v>310</v>
      </c>
      <c r="T161" s="260" t="s">
        <v>311</v>
      </c>
      <c r="U161" s="260" t="str">
        <f>U151</f>
        <v>Other</v>
      </c>
      <c r="V161" s="260" t="s">
        <v>315</v>
      </c>
      <c r="W161" s="260" t="s">
        <v>314</v>
      </c>
      <c r="X161" s="260" t="str">
        <f>X151</f>
        <v>St. Rose</v>
      </c>
      <c r="Z161" s="260" t="s">
        <v>309</v>
      </c>
      <c r="AA161" s="260" t="s">
        <v>310</v>
      </c>
      <c r="AB161" s="260" t="s">
        <v>311</v>
      </c>
      <c r="AC161" s="260" t="str">
        <f>AC151</f>
        <v>Other</v>
      </c>
      <c r="AD161" s="260" t="s">
        <v>315</v>
      </c>
      <c r="AE161" s="260" t="s">
        <v>314</v>
      </c>
      <c r="AF161" s="260" t="str">
        <f>AF151</f>
        <v>Inspirada</v>
      </c>
      <c r="AH161" s="260" t="s">
        <v>309</v>
      </c>
      <c r="AI161" s="260" t="s">
        <v>310</v>
      </c>
      <c r="AJ161" s="260" t="s">
        <v>311</v>
      </c>
      <c r="AK161" s="260" t="str">
        <f>AK151</f>
        <v>Other</v>
      </c>
      <c r="AL161" s="260" t="s">
        <v>315</v>
      </c>
      <c r="AM161" s="260" t="s">
        <v>314</v>
      </c>
      <c r="AN161" s="260" t="str">
        <f>AN151</f>
        <v>Sloan</v>
      </c>
      <c r="AP161" s="260" t="s">
        <v>309</v>
      </c>
      <c r="AQ161" s="260" t="s">
        <v>310</v>
      </c>
      <c r="AR161" s="260" t="s">
        <v>311</v>
      </c>
      <c r="AS161" s="260" t="str">
        <f>AS151</f>
        <v>Other</v>
      </c>
      <c r="AT161" s="260" t="s">
        <v>315</v>
      </c>
      <c r="AU161" s="260" t="s">
        <v>314</v>
      </c>
      <c r="AV161" s="260" t="str">
        <f>AV151</f>
        <v>Springs</v>
      </c>
      <c r="AX161" s="260" t="s">
        <v>309</v>
      </c>
      <c r="AY161" s="260" t="s">
        <v>310</v>
      </c>
      <c r="AZ161" s="260" t="s">
        <v>311</v>
      </c>
      <c r="BA161" s="260" t="str">
        <f>BA151</f>
        <v>Other</v>
      </c>
      <c r="BB161" s="260" t="s">
        <v>315</v>
      </c>
      <c r="BC161" s="260" t="s">
        <v>314</v>
      </c>
      <c r="BD161" s="260" t="str">
        <f>BD151</f>
        <v>Virtual</v>
      </c>
      <c r="BF161" s="260" t="s">
        <v>309</v>
      </c>
      <c r="BG161" s="260" t="s">
        <v>310</v>
      </c>
      <c r="BH161" s="260" t="s">
        <v>311</v>
      </c>
      <c r="BI161" s="260" t="str">
        <f>BI151</f>
        <v>Other</v>
      </c>
      <c r="BJ161" s="260" t="s">
        <v>315</v>
      </c>
      <c r="BK161" s="260" t="s">
        <v>314</v>
      </c>
      <c r="BL161" s="260" t="str">
        <f>BL151</f>
        <v>Central</v>
      </c>
      <c r="BN161" s="260" t="s">
        <v>309</v>
      </c>
      <c r="BO161" s="260" t="s">
        <v>310</v>
      </c>
      <c r="BP161" s="260" t="s">
        <v>311</v>
      </c>
      <c r="BQ161" s="260" t="str">
        <f>BQ151</f>
        <v>Other</v>
      </c>
      <c r="BR161" s="260" t="s">
        <v>315</v>
      </c>
      <c r="BS161" s="260" t="s">
        <v>314</v>
      </c>
      <c r="BT161" s="260" t="str">
        <f>BT151</f>
        <v>System</v>
      </c>
    </row>
    <row r="162" spans="1:72" x14ac:dyDescent="0.25">
      <c r="A162" s="214" t="s">
        <v>262</v>
      </c>
      <c r="B162" s="257">
        <f>5000+500+500+250+250</f>
        <v>6500</v>
      </c>
      <c r="C162" s="257"/>
      <c r="D162" s="257"/>
      <c r="E162" s="257"/>
      <c r="F162" s="257"/>
      <c r="G162" s="257"/>
      <c r="H162" s="241">
        <f>SUM(B162:G162)</f>
        <v>6500</v>
      </c>
      <c r="J162" s="257">
        <f>5000+500+500+500+500</f>
        <v>7000</v>
      </c>
      <c r="K162" s="257"/>
      <c r="L162" s="257"/>
      <c r="M162" s="257"/>
      <c r="N162" s="257"/>
      <c r="O162" s="257"/>
      <c r="P162" s="241">
        <f>SUM(J162:O162)</f>
        <v>7000</v>
      </c>
      <c r="R162" s="257">
        <f>5000+500+500+250+250</f>
        <v>6500</v>
      </c>
      <c r="S162" s="257"/>
      <c r="T162" s="257"/>
      <c r="U162" s="257"/>
      <c r="V162" s="257"/>
      <c r="W162" s="257"/>
      <c r="X162" s="241">
        <f>SUM(R162:W162)</f>
        <v>6500</v>
      </c>
      <c r="Z162" s="257">
        <f>5000+500+500+250+250</f>
        <v>6500</v>
      </c>
      <c r="AA162" s="257"/>
      <c r="AB162" s="257"/>
      <c r="AC162" s="257"/>
      <c r="AD162" s="257"/>
      <c r="AE162" s="257"/>
      <c r="AF162" s="241">
        <f>SUM(Z162:AE162)</f>
        <v>6500</v>
      </c>
      <c r="AH162" s="257">
        <f>5000+500+500+250+250</f>
        <v>6500</v>
      </c>
      <c r="AI162" s="257"/>
      <c r="AJ162" s="257"/>
      <c r="AK162" s="257"/>
      <c r="AL162" s="257"/>
      <c r="AM162" s="257"/>
      <c r="AN162" s="241">
        <f>SUM(AH162:AM162)</f>
        <v>6500</v>
      </c>
      <c r="AP162" s="257">
        <f>2500+500+500</f>
        <v>3500</v>
      </c>
      <c r="AQ162" s="257"/>
      <c r="AR162" s="257"/>
      <c r="AS162" s="257"/>
      <c r="AT162" s="257"/>
      <c r="AU162" s="257"/>
      <c r="AV162" s="241">
        <f>SUM(AP162:AU162)</f>
        <v>3500</v>
      </c>
      <c r="AX162" s="257">
        <v>0</v>
      </c>
      <c r="AY162" s="257"/>
      <c r="AZ162" s="257"/>
      <c r="BA162" s="257"/>
      <c r="BB162" s="257"/>
      <c r="BC162" s="257"/>
      <c r="BD162" s="241">
        <f>SUM(AX162:BC162)</f>
        <v>0</v>
      </c>
      <c r="BF162" s="257"/>
      <c r="BG162" s="257"/>
      <c r="BH162" s="257"/>
      <c r="BI162" s="257"/>
      <c r="BJ162" s="257"/>
      <c r="BK162" s="257"/>
      <c r="BL162" s="241">
        <f>SUM(BF162:BK162)</f>
        <v>0</v>
      </c>
      <c r="BN162" s="241">
        <f>B162+J162+R162+Z162+AH162+AP162+AX162+BF162</f>
        <v>36500</v>
      </c>
      <c r="BO162" s="241">
        <f t="shared" ref="BO162:BS170" si="323">C162+K162+S162+AA162+AI162+AQ162+AY162+BG162</f>
        <v>0</v>
      </c>
      <c r="BP162" s="241">
        <f t="shared" si="323"/>
        <v>0</v>
      </c>
      <c r="BQ162" s="241">
        <f t="shared" si="323"/>
        <v>0</v>
      </c>
      <c r="BR162" s="241">
        <f t="shared" si="323"/>
        <v>0</v>
      </c>
      <c r="BS162" s="241">
        <f t="shared" si="323"/>
        <v>0</v>
      </c>
      <c r="BT162" s="241">
        <f>SUM(BN162:BS162)</f>
        <v>36500</v>
      </c>
    </row>
    <row r="163" spans="1:72" x14ac:dyDescent="0.25">
      <c r="A163" s="211" t="s">
        <v>264</v>
      </c>
      <c r="B163" s="244"/>
      <c r="C163" s="244"/>
      <c r="D163" s="244"/>
      <c r="E163" s="244"/>
      <c r="F163" s="244"/>
      <c r="G163" s="244"/>
      <c r="H163" s="241">
        <f t="shared" ref="H163:H170" si="324">SUM(B163:G163)</f>
        <v>0</v>
      </c>
      <c r="J163" s="244"/>
      <c r="K163" s="244"/>
      <c r="L163" s="244"/>
      <c r="M163" s="244"/>
      <c r="N163" s="244"/>
      <c r="O163" s="244"/>
      <c r="P163" s="241">
        <f t="shared" ref="P163:P170" si="325">SUM(J163:O163)</f>
        <v>0</v>
      </c>
      <c r="R163" s="242">
        <f>32697*1.04*1.04*1.03*1.03*1.03</f>
        <v>38644.372528070417</v>
      </c>
      <c r="S163" s="244"/>
      <c r="T163" s="244"/>
      <c r="U163" s="244"/>
      <c r="V163" s="244"/>
      <c r="W163" s="244"/>
      <c r="X163" s="241">
        <f t="shared" ref="X163:X170" si="326">SUM(R163:W163)</f>
        <v>38644.372528070417</v>
      </c>
      <c r="Z163" s="244"/>
      <c r="AA163" s="244"/>
      <c r="AB163" s="244"/>
      <c r="AC163" s="244"/>
      <c r="AD163" s="244"/>
      <c r="AE163" s="244"/>
      <c r="AF163" s="241">
        <f t="shared" ref="AF163:AF170" si="327">SUM(Z163:AE163)</f>
        <v>0</v>
      </c>
      <c r="AH163" s="244"/>
      <c r="AI163" s="244"/>
      <c r="AJ163" s="244"/>
      <c r="AK163" s="244"/>
      <c r="AL163" s="244"/>
      <c r="AM163" s="244"/>
      <c r="AN163" s="241">
        <f t="shared" ref="AN163:AN170" si="328">SUM(AH163:AM163)</f>
        <v>0</v>
      </c>
      <c r="AP163" s="244"/>
      <c r="AQ163" s="244"/>
      <c r="AR163" s="244"/>
      <c r="AS163" s="244"/>
      <c r="AT163" s="244"/>
      <c r="AU163" s="244"/>
      <c r="AV163" s="241">
        <f t="shared" ref="AV163:AV170" si="329">SUM(AP163:AU163)</f>
        <v>0</v>
      </c>
      <c r="AX163" s="244">
        <f>800*AX17</f>
        <v>145600</v>
      </c>
      <c r="AY163" s="244"/>
      <c r="AZ163" s="244"/>
      <c r="BA163" s="244"/>
      <c r="BB163" s="244"/>
      <c r="BC163" s="244"/>
      <c r="BD163" s="241">
        <f t="shared" ref="BD163:BD170" si="330">SUM(AX163:BC163)</f>
        <v>145600</v>
      </c>
      <c r="BF163" s="244"/>
      <c r="BG163" s="244"/>
      <c r="BH163" s="244"/>
      <c r="BI163" s="244"/>
      <c r="BJ163" s="244"/>
      <c r="BK163" s="244"/>
      <c r="BL163" s="241">
        <f t="shared" ref="BL163:BL170" si="331">SUM(BF163:BK163)</f>
        <v>0</v>
      </c>
      <c r="BN163" s="241">
        <f t="shared" ref="BN163:BN170" si="332">B163+J163+R163+Z163+AH163+AP163+AX163+BF163</f>
        <v>184244.37252807041</v>
      </c>
      <c r="BO163" s="241">
        <f t="shared" si="323"/>
        <v>0</v>
      </c>
      <c r="BP163" s="241">
        <f t="shared" si="323"/>
        <v>0</v>
      </c>
      <c r="BQ163" s="241">
        <f t="shared" si="323"/>
        <v>0</v>
      </c>
      <c r="BR163" s="241">
        <f t="shared" si="323"/>
        <v>0</v>
      </c>
      <c r="BS163" s="241">
        <f t="shared" si="323"/>
        <v>0</v>
      </c>
      <c r="BT163" s="241">
        <f t="shared" ref="BT163:BT170" si="333">SUM(BN163:BS163)</f>
        <v>184244.37252807041</v>
      </c>
    </row>
    <row r="164" spans="1:72" x14ac:dyDescent="0.25">
      <c r="A164" s="211" t="s">
        <v>268</v>
      </c>
      <c r="B164" s="244">
        <f>521.75*B17</f>
        <v>483662.25</v>
      </c>
      <c r="C164" s="244"/>
      <c r="D164" s="244"/>
      <c r="E164" s="244"/>
      <c r="F164" s="244"/>
      <c r="G164" s="244"/>
      <c r="H164" s="241">
        <f t="shared" si="324"/>
        <v>483662.25</v>
      </c>
      <c r="J164" s="244">
        <f>521.75*J17</f>
        <v>1311679.5</v>
      </c>
      <c r="K164" s="244"/>
      <c r="L164" s="244"/>
      <c r="M164" s="244"/>
      <c r="N164" s="244"/>
      <c r="O164" s="244"/>
      <c r="P164" s="241">
        <f t="shared" si="325"/>
        <v>1311679.5</v>
      </c>
      <c r="R164" s="244">
        <f>521.75*R17</f>
        <v>537402.5</v>
      </c>
      <c r="S164" s="244"/>
      <c r="T164" s="244"/>
      <c r="U164" s="244"/>
      <c r="V164" s="244"/>
      <c r="W164" s="244"/>
      <c r="X164" s="241">
        <f t="shared" si="326"/>
        <v>537402.5</v>
      </c>
      <c r="Z164" s="244">
        <f>521.75*Z17</f>
        <v>625056.5</v>
      </c>
      <c r="AA164" s="244"/>
      <c r="AB164" s="244"/>
      <c r="AC164" s="244"/>
      <c r="AD164" s="244"/>
      <c r="AE164" s="244"/>
      <c r="AF164" s="241">
        <f t="shared" si="327"/>
        <v>625056.5</v>
      </c>
      <c r="AH164" s="244">
        <f>521.75*AH17</f>
        <v>1308549</v>
      </c>
      <c r="AI164" s="244"/>
      <c r="AJ164" s="244"/>
      <c r="AK164" s="244"/>
      <c r="AL164" s="244"/>
      <c r="AM164" s="244"/>
      <c r="AN164" s="241">
        <f t="shared" si="328"/>
        <v>1308549</v>
      </c>
      <c r="AP164" s="244">
        <f>521.75*AP17</f>
        <v>480010</v>
      </c>
      <c r="AQ164" s="244"/>
      <c r="AR164" s="244"/>
      <c r="AS164" s="244"/>
      <c r="AT164" s="244"/>
      <c r="AU164" s="244"/>
      <c r="AV164" s="241">
        <f t="shared" si="329"/>
        <v>480010</v>
      </c>
      <c r="AX164" s="244">
        <f>521.75*AX17</f>
        <v>94958.5</v>
      </c>
      <c r="AY164" s="244"/>
      <c r="AZ164" s="244"/>
      <c r="BA164" s="244"/>
      <c r="BB164" s="244"/>
      <c r="BC164" s="244"/>
      <c r="BD164" s="241">
        <f t="shared" si="330"/>
        <v>94958.5</v>
      </c>
      <c r="BF164" s="244"/>
      <c r="BG164" s="244"/>
      <c r="BH164" s="244"/>
      <c r="BI164" s="244"/>
      <c r="BJ164" s="244"/>
      <c r="BK164" s="244"/>
      <c r="BL164" s="241">
        <f t="shared" si="331"/>
        <v>0</v>
      </c>
      <c r="BN164" s="241">
        <f t="shared" si="332"/>
        <v>4841318.25</v>
      </c>
      <c r="BO164" s="241">
        <f t="shared" si="323"/>
        <v>0</v>
      </c>
      <c r="BP164" s="241">
        <f t="shared" si="323"/>
        <v>0</v>
      </c>
      <c r="BQ164" s="241">
        <f t="shared" si="323"/>
        <v>0</v>
      </c>
      <c r="BR164" s="241">
        <f t="shared" si="323"/>
        <v>0</v>
      </c>
      <c r="BS164" s="241">
        <f t="shared" si="323"/>
        <v>0</v>
      </c>
      <c r="BT164" s="241">
        <f t="shared" si="333"/>
        <v>4841318.25</v>
      </c>
    </row>
    <row r="165" spans="1:72" x14ac:dyDescent="0.25">
      <c r="A165" s="211" t="s">
        <v>269</v>
      </c>
      <c r="B165" s="242">
        <f>(2500*12)*1.02*1.02*1.03*1.03</f>
        <v>33112.810799999999</v>
      </c>
      <c r="C165" s="244"/>
      <c r="D165" s="244"/>
      <c r="E165" s="244"/>
      <c r="F165" s="244"/>
      <c r="G165" s="244"/>
      <c r="H165" s="241">
        <f t="shared" si="324"/>
        <v>33112.810799999999</v>
      </c>
      <c r="J165" s="242">
        <f>(5700*12)*1.03*1.03*1.03*1.03</f>
        <v>76984.802603999997</v>
      </c>
      <c r="K165" s="244"/>
      <c r="L165" s="244"/>
      <c r="M165" s="244"/>
      <c r="N165" s="244"/>
      <c r="O165" s="244"/>
      <c r="P165" s="241">
        <f t="shared" si="325"/>
        <v>76984.802603999997</v>
      </c>
      <c r="R165" s="242">
        <f>(2600*12)*1.03*1.03*1.03*1.03</f>
        <v>35115.874872</v>
      </c>
      <c r="S165" s="244"/>
      <c r="T165" s="244"/>
      <c r="U165" s="244"/>
      <c r="V165" s="244"/>
      <c r="W165" s="244"/>
      <c r="X165" s="241">
        <f t="shared" si="326"/>
        <v>35115.874872</v>
      </c>
      <c r="Z165" s="242">
        <f>(3000*12)*1.02*1.02*1.02*1.02</f>
        <v>38967.557760000003</v>
      </c>
      <c r="AA165" s="244"/>
      <c r="AB165" s="244"/>
      <c r="AC165" s="244"/>
      <c r="AD165" s="244"/>
      <c r="AE165" s="244"/>
      <c r="AF165" s="241">
        <f t="shared" si="327"/>
        <v>38967.557760000003</v>
      </c>
      <c r="AH165" s="242">
        <f>(5700*12)*1.03*1.03*1.03*1.03</f>
        <v>76984.802603999997</v>
      </c>
      <c r="AI165" s="244"/>
      <c r="AJ165" s="244"/>
      <c r="AK165" s="244"/>
      <c r="AL165" s="244"/>
      <c r="AM165" s="244"/>
      <c r="AN165" s="241">
        <f t="shared" si="328"/>
        <v>76984.802603999997</v>
      </c>
      <c r="AP165" s="242">
        <f>32000*1.03</f>
        <v>32960</v>
      </c>
      <c r="AQ165" s="244"/>
      <c r="AR165" s="244"/>
      <c r="AS165" s="244"/>
      <c r="AT165" s="244"/>
      <c r="AU165" s="244"/>
      <c r="AV165" s="241">
        <f t="shared" si="329"/>
        <v>32960</v>
      </c>
      <c r="AX165" s="280">
        <f>5500+250+500+500+500</f>
        <v>7250</v>
      </c>
      <c r="AY165" s="244"/>
      <c r="AZ165" s="244"/>
      <c r="BA165" s="244"/>
      <c r="BB165" s="244"/>
      <c r="BC165" s="244"/>
      <c r="BD165" s="241">
        <f t="shared" si="330"/>
        <v>7250</v>
      </c>
      <c r="BF165" s="242">
        <f>7500+500</f>
        <v>8000</v>
      </c>
      <c r="BG165" s="244"/>
      <c r="BH165" s="244"/>
      <c r="BI165" s="244"/>
      <c r="BJ165" s="244"/>
      <c r="BK165" s="244"/>
      <c r="BL165" s="241">
        <f t="shared" si="331"/>
        <v>8000</v>
      </c>
      <c r="BN165" s="241">
        <f t="shared" si="332"/>
        <v>309375.84863999998</v>
      </c>
      <c r="BO165" s="241">
        <f t="shared" si="323"/>
        <v>0</v>
      </c>
      <c r="BP165" s="241">
        <f t="shared" si="323"/>
        <v>0</v>
      </c>
      <c r="BQ165" s="241">
        <f t="shared" si="323"/>
        <v>0</v>
      </c>
      <c r="BR165" s="241">
        <f t="shared" si="323"/>
        <v>0</v>
      </c>
      <c r="BS165" s="241">
        <f t="shared" si="323"/>
        <v>0</v>
      </c>
      <c r="BT165" s="241">
        <f t="shared" si="333"/>
        <v>309375.84863999998</v>
      </c>
    </row>
    <row r="166" spans="1:72" x14ac:dyDescent="0.25">
      <c r="A166" s="211" t="s">
        <v>270</v>
      </c>
      <c r="B166" s="244">
        <f>26500*1.03*1.03*1.03*1.03</f>
        <v>29825.983465000001</v>
      </c>
      <c r="C166" s="244"/>
      <c r="D166" s="244"/>
      <c r="E166" s="244"/>
      <c r="F166" s="244"/>
      <c r="G166" s="244"/>
      <c r="H166" s="241">
        <f t="shared" si="324"/>
        <v>29825.983465000001</v>
      </c>
      <c r="J166" s="244">
        <f>26500*1.04*1.03*1.03*1.03</f>
        <v>30115.556120000001</v>
      </c>
      <c r="K166" s="244"/>
      <c r="L166" s="244"/>
      <c r="M166" s="244"/>
      <c r="N166" s="244"/>
      <c r="O166" s="244"/>
      <c r="P166" s="241">
        <f t="shared" si="325"/>
        <v>30115.556120000001</v>
      </c>
      <c r="R166" s="244">
        <f>26500*1.03*1.03*1.03*1.03</f>
        <v>29825.983465000001</v>
      </c>
      <c r="S166" s="244"/>
      <c r="T166" s="244"/>
      <c r="U166" s="244"/>
      <c r="V166" s="244"/>
      <c r="W166" s="244"/>
      <c r="X166" s="241">
        <f t="shared" si="326"/>
        <v>29825.983465000001</v>
      </c>
      <c r="Z166" s="244">
        <f>26500*1.03*1.03*1.03*1.03</f>
        <v>29825.983465000001</v>
      </c>
      <c r="AA166" s="244"/>
      <c r="AB166" s="244"/>
      <c r="AC166" s="244"/>
      <c r="AD166" s="244"/>
      <c r="AE166" s="244"/>
      <c r="AF166" s="241">
        <f t="shared" si="327"/>
        <v>29825.983465000001</v>
      </c>
      <c r="AH166" s="244">
        <f>26500*1.03*1.03*1.03*1.03</f>
        <v>29825.983465000001</v>
      </c>
      <c r="AI166" s="244"/>
      <c r="AJ166" s="244"/>
      <c r="AK166" s="244"/>
      <c r="AL166" s="244"/>
      <c r="AM166" s="244"/>
      <c r="AN166" s="241">
        <f t="shared" si="328"/>
        <v>29825.983465000001</v>
      </c>
      <c r="AP166" s="244">
        <f>5000*1.03*1.03*1.03*1.03</f>
        <v>5627.5440500000004</v>
      </c>
      <c r="AQ166" s="244"/>
      <c r="AR166" s="244"/>
      <c r="AS166" s="244"/>
      <c r="AT166" s="244"/>
      <c r="AU166" s="244"/>
      <c r="AV166" s="241">
        <f t="shared" si="329"/>
        <v>5627.5440500000004</v>
      </c>
      <c r="AX166" s="244">
        <f>26500*1.03*1.03*1.03*1.03</f>
        <v>29825.983465000001</v>
      </c>
      <c r="AY166" s="244"/>
      <c r="AZ166" s="244"/>
      <c r="BA166" s="244"/>
      <c r="BB166" s="244"/>
      <c r="BC166" s="244"/>
      <c r="BD166" s="241">
        <f t="shared" si="330"/>
        <v>29825.983465000001</v>
      </c>
      <c r="BF166" s="244"/>
      <c r="BG166" s="244"/>
      <c r="BH166" s="244"/>
      <c r="BI166" s="244"/>
      <c r="BJ166" s="244"/>
      <c r="BK166" s="244"/>
      <c r="BL166" s="241">
        <f t="shared" si="331"/>
        <v>0</v>
      </c>
      <c r="BN166" s="241">
        <f t="shared" si="332"/>
        <v>184873.01749500001</v>
      </c>
      <c r="BO166" s="241">
        <f t="shared" si="323"/>
        <v>0</v>
      </c>
      <c r="BP166" s="241">
        <f t="shared" si="323"/>
        <v>0</v>
      </c>
      <c r="BQ166" s="241">
        <f t="shared" si="323"/>
        <v>0</v>
      </c>
      <c r="BR166" s="241">
        <f t="shared" si="323"/>
        <v>0</v>
      </c>
      <c r="BS166" s="241">
        <f t="shared" si="323"/>
        <v>0</v>
      </c>
      <c r="BT166" s="241">
        <f t="shared" si="333"/>
        <v>184873.01749500001</v>
      </c>
    </row>
    <row r="167" spans="1:72" x14ac:dyDescent="0.25">
      <c r="A167" s="211" t="s">
        <v>271</v>
      </c>
      <c r="B167" s="244">
        <f>22500+1000+1000+1000+1000</f>
        <v>26500</v>
      </c>
      <c r="C167" s="244"/>
      <c r="D167" s="244"/>
      <c r="E167" s="244"/>
      <c r="F167" s="244"/>
      <c r="G167" s="244"/>
      <c r="H167" s="241">
        <f t="shared" si="324"/>
        <v>26500</v>
      </c>
      <c r="J167" s="244">
        <f>40000*1.05+1000+1000+1000</f>
        <v>45000</v>
      </c>
      <c r="K167" s="244"/>
      <c r="L167" s="244"/>
      <c r="M167" s="244"/>
      <c r="N167" s="244"/>
      <c r="O167" s="244"/>
      <c r="P167" s="241">
        <f t="shared" si="325"/>
        <v>45000</v>
      </c>
      <c r="R167" s="244">
        <f>27500+1000+1000+1000+1000</f>
        <v>31500</v>
      </c>
      <c r="S167" s="244"/>
      <c r="T167" s="244"/>
      <c r="U167" s="244"/>
      <c r="V167" s="244"/>
      <c r="W167" s="244"/>
      <c r="X167" s="241">
        <f t="shared" si="326"/>
        <v>31500</v>
      </c>
      <c r="Z167" s="244">
        <f>30000+1000+1000+1000+1000</f>
        <v>34000</v>
      </c>
      <c r="AA167" s="244"/>
      <c r="AB167" s="244"/>
      <c r="AC167" s="244"/>
      <c r="AD167" s="244"/>
      <c r="AE167" s="244"/>
      <c r="AF167" s="241">
        <f t="shared" si="327"/>
        <v>34000</v>
      </c>
      <c r="AH167" s="244">
        <f>40000+1000+1000+1000+1000</f>
        <v>44000</v>
      </c>
      <c r="AI167" s="244"/>
      <c r="AJ167" s="244"/>
      <c r="AK167" s="244"/>
      <c r="AL167" s="244"/>
      <c r="AM167" s="244"/>
      <c r="AN167" s="241">
        <f t="shared" si="328"/>
        <v>44000</v>
      </c>
      <c r="AP167" s="244">
        <v>16500</v>
      </c>
      <c r="AQ167" s="244"/>
      <c r="AR167" s="244"/>
      <c r="AS167" s="244"/>
      <c r="AT167" s="244"/>
      <c r="AU167" s="244"/>
      <c r="AV167" s="241">
        <f t="shared" si="329"/>
        <v>16500</v>
      </c>
      <c r="AX167" s="244">
        <f>20000+1000+1000+1000+1000</f>
        <v>24000</v>
      </c>
      <c r="AY167" s="244"/>
      <c r="AZ167" s="244"/>
      <c r="BA167" s="244"/>
      <c r="BB167" s="244"/>
      <c r="BC167" s="244"/>
      <c r="BD167" s="241">
        <f t="shared" si="330"/>
        <v>24000</v>
      </c>
      <c r="BF167" s="244"/>
      <c r="BG167" s="244"/>
      <c r="BH167" s="244"/>
      <c r="BI167" s="244"/>
      <c r="BJ167" s="244"/>
      <c r="BK167" s="244"/>
      <c r="BL167" s="241">
        <f t="shared" si="331"/>
        <v>0</v>
      </c>
      <c r="BN167" s="241">
        <f t="shared" si="332"/>
        <v>221500</v>
      </c>
      <c r="BO167" s="241">
        <f t="shared" si="323"/>
        <v>0</v>
      </c>
      <c r="BP167" s="241">
        <f t="shared" si="323"/>
        <v>0</v>
      </c>
      <c r="BQ167" s="241">
        <f t="shared" si="323"/>
        <v>0</v>
      </c>
      <c r="BR167" s="241">
        <f t="shared" si="323"/>
        <v>0</v>
      </c>
      <c r="BS167" s="241">
        <f t="shared" si="323"/>
        <v>0</v>
      </c>
      <c r="BT167" s="241">
        <f t="shared" si="333"/>
        <v>221500</v>
      </c>
    </row>
    <row r="168" spans="1:72" x14ac:dyDescent="0.25">
      <c r="A168" s="211" t="s">
        <v>272</v>
      </c>
      <c r="B168" s="244">
        <f>(52*B17)+(71*12)</f>
        <v>49056</v>
      </c>
      <c r="C168" s="244"/>
      <c r="D168" s="244"/>
      <c r="E168" s="244"/>
      <c r="F168" s="244"/>
      <c r="G168" s="244"/>
      <c r="H168" s="241">
        <f t="shared" si="324"/>
        <v>49056</v>
      </c>
      <c r="J168" s="244">
        <f>(52*J17)+(71*12)</f>
        <v>131580</v>
      </c>
      <c r="K168" s="244"/>
      <c r="L168" s="244"/>
      <c r="M168" s="244"/>
      <c r="N168" s="244"/>
      <c r="O168" s="244"/>
      <c r="P168" s="241">
        <f t="shared" si="325"/>
        <v>131580</v>
      </c>
      <c r="R168" s="244">
        <f>(52*R17)+(71*12)</f>
        <v>54412</v>
      </c>
      <c r="S168" s="244"/>
      <c r="T168" s="244"/>
      <c r="U168" s="244"/>
      <c r="V168" s="244"/>
      <c r="W168" s="244"/>
      <c r="X168" s="241">
        <f t="shared" si="326"/>
        <v>54412</v>
      </c>
      <c r="Z168" s="244">
        <f>(52*Z17)+(71*12)</f>
        <v>63148</v>
      </c>
      <c r="AA168" s="244"/>
      <c r="AB168" s="244"/>
      <c r="AC168" s="244"/>
      <c r="AD168" s="244"/>
      <c r="AE168" s="244"/>
      <c r="AF168" s="241">
        <f t="shared" si="327"/>
        <v>63148</v>
      </c>
      <c r="AH168" s="244">
        <f>(52*AH17)+(71*12)</f>
        <v>131268</v>
      </c>
      <c r="AI168" s="244"/>
      <c r="AJ168" s="244"/>
      <c r="AK168" s="244"/>
      <c r="AL168" s="244"/>
      <c r="AM168" s="244"/>
      <c r="AN168" s="241">
        <f t="shared" si="328"/>
        <v>131268</v>
      </c>
      <c r="AP168" s="244">
        <f>(52*AP17)+(71*12)</f>
        <v>48692</v>
      </c>
      <c r="AQ168" s="244"/>
      <c r="AR168" s="244"/>
      <c r="AS168" s="244"/>
      <c r="AT168" s="244"/>
      <c r="AU168" s="244"/>
      <c r="AV168" s="241">
        <f t="shared" si="329"/>
        <v>48692</v>
      </c>
      <c r="AX168" s="244">
        <f>(52*AX17)+(71*12)</f>
        <v>10316</v>
      </c>
      <c r="AY168" s="244"/>
      <c r="AZ168" s="244"/>
      <c r="BA168" s="244"/>
      <c r="BB168" s="244"/>
      <c r="BC168" s="244"/>
      <c r="BD168" s="241">
        <f t="shared" si="330"/>
        <v>10316</v>
      </c>
      <c r="BF168" s="244"/>
      <c r="BG168" s="244"/>
      <c r="BH168" s="244"/>
      <c r="BI168" s="244"/>
      <c r="BJ168" s="244"/>
      <c r="BK168" s="244"/>
      <c r="BL168" s="241">
        <f t="shared" si="331"/>
        <v>0</v>
      </c>
      <c r="BN168" s="241">
        <f t="shared" si="332"/>
        <v>488472</v>
      </c>
      <c r="BO168" s="241">
        <f t="shared" si="323"/>
        <v>0</v>
      </c>
      <c r="BP168" s="241">
        <f t="shared" si="323"/>
        <v>0</v>
      </c>
      <c r="BQ168" s="241">
        <f t="shared" si="323"/>
        <v>0</v>
      </c>
      <c r="BR168" s="241">
        <f t="shared" si="323"/>
        <v>0</v>
      </c>
      <c r="BS168" s="241">
        <f t="shared" si="323"/>
        <v>0</v>
      </c>
      <c r="BT168" s="241">
        <f t="shared" si="333"/>
        <v>488472</v>
      </c>
    </row>
    <row r="169" spans="1:72" x14ac:dyDescent="0.25">
      <c r="A169" s="211" t="s">
        <v>273</v>
      </c>
      <c r="B169" s="244">
        <v>23500</v>
      </c>
      <c r="C169" s="244"/>
      <c r="D169" s="244"/>
      <c r="E169" s="244"/>
      <c r="F169" s="244"/>
      <c r="G169" s="244"/>
      <c r="H169" s="241">
        <f t="shared" si="324"/>
        <v>23500</v>
      </c>
      <c r="J169" s="244">
        <v>38000</v>
      </c>
      <c r="K169" s="244"/>
      <c r="L169" s="244"/>
      <c r="M169" s="244"/>
      <c r="N169" s="244"/>
      <c r="O169" s="244"/>
      <c r="P169" s="241">
        <f t="shared" si="325"/>
        <v>38000</v>
      </c>
      <c r="R169" s="244">
        <v>27000</v>
      </c>
      <c r="S169" s="244"/>
      <c r="T169" s="244"/>
      <c r="U169" s="244"/>
      <c r="V169" s="244"/>
      <c r="W169" s="244"/>
      <c r="X169" s="241">
        <f t="shared" si="326"/>
        <v>27000</v>
      </c>
      <c r="Z169" s="244">
        <v>29500</v>
      </c>
      <c r="AA169" s="244"/>
      <c r="AB169" s="244"/>
      <c r="AC169" s="244"/>
      <c r="AD169" s="244"/>
      <c r="AE169" s="244"/>
      <c r="AF169" s="241">
        <f t="shared" si="327"/>
        <v>29500</v>
      </c>
      <c r="AH169" s="244">
        <v>43000</v>
      </c>
      <c r="AI169" s="244"/>
      <c r="AJ169" s="244"/>
      <c r="AK169" s="244"/>
      <c r="AL169" s="244"/>
      <c r="AM169" s="244"/>
      <c r="AN169" s="241">
        <f t="shared" si="328"/>
        <v>43000</v>
      </c>
      <c r="AP169" s="244">
        <v>23000</v>
      </c>
      <c r="AQ169" s="244"/>
      <c r="AR169" s="244"/>
      <c r="AS169" s="244"/>
      <c r="AT169" s="244"/>
      <c r="AU169" s="244"/>
      <c r="AV169" s="241">
        <f t="shared" si="329"/>
        <v>23000</v>
      </c>
      <c r="AX169" s="244">
        <v>17000</v>
      </c>
      <c r="AY169" s="244"/>
      <c r="AZ169" s="244"/>
      <c r="BA169" s="244"/>
      <c r="BB169" s="244"/>
      <c r="BC169" s="244"/>
      <c r="BD169" s="241">
        <f t="shared" si="330"/>
        <v>17000</v>
      </c>
      <c r="BF169" s="244"/>
      <c r="BG169" s="244"/>
      <c r="BH169" s="244"/>
      <c r="BI169" s="244"/>
      <c r="BJ169" s="244"/>
      <c r="BK169" s="244"/>
      <c r="BL169" s="241">
        <f t="shared" si="331"/>
        <v>0</v>
      </c>
      <c r="BN169" s="241">
        <f t="shared" si="332"/>
        <v>201000</v>
      </c>
      <c r="BO169" s="241">
        <f t="shared" si="323"/>
        <v>0</v>
      </c>
      <c r="BP169" s="241">
        <f t="shared" si="323"/>
        <v>0</v>
      </c>
      <c r="BQ169" s="241">
        <f t="shared" si="323"/>
        <v>0</v>
      </c>
      <c r="BR169" s="241">
        <f t="shared" si="323"/>
        <v>0</v>
      </c>
      <c r="BS169" s="241">
        <f t="shared" si="323"/>
        <v>0</v>
      </c>
      <c r="BT169" s="241">
        <f t="shared" si="333"/>
        <v>201000</v>
      </c>
    </row>
    <row r="170" spans="1:72" x14ac:dyDescent="0.25">
      <c r="A170" s="212" t="s">
        <v>274</v>
      </c>
      <c r="B170" s="245">
        <f>B68*0.0125</f>
        <v>115005.9375</v>
      </c>
      <c r="C170" s="245"/>
      <c r="D170" s="245"/>
      <c r="E170" s="245"/>
      <c r="F170" s="245"/>
      <c r="G170" s="245"/>
      <c r="H170" s="241">
        <f t="shared" si="324"/>
        <v>115005.9375</v>
      </c>
      <c r="J170" s="245">
        <f>J68*0.0125</f>
        <v>311893.125</v>
      </c>
      <c r="K170" s="245"/>
      <c r="L170" s="245"/>
      <c r="M170" s="245"/>
      <c r="N170" s="245"/>
      <c r="O170" s="245"/>
      <c r="P170" s="241">
        <f t="shared" si="325"/>
        <v>311893.125</v>
      </c>
      <c r="R170" s="245">
        <f>R68*0.0125</f>
        <v>127784.375</v>
      </c>
      <c r="S170" s="245"/>
      <c r="T170" s="245"/>
      <c r="U170" s="245"/>
      <c r="V170" s="245"/>
      <c r="W170" s="245"/>
      <c r="X170" s="241">
        <f t="shared" si="326"/>
        <v>127784.375</v>
      </c>
      <c r="Z170" s="245">
        <f>Z68*0.0125</f>
        <v>148626.875</v>
      </c>
      <c r="AA170" s="245"/>
      <c r="AB170" s="245"/>
      <c r="AC170" s="245"/>
      <c r="AD170" s="245"/>
      <c r="AE170" s="245"/>
      <c r="AF170" s="241">
        <f t="shared" si="327"/>
        <v>148626.875</v>
      </c>
      <c r="AH170" s="245">
        <f>AH68*0.0125</f>
        <v>311148.75</v>
      </c>
      <c r="AI170" s="245"/>
      <c r="AJ170" s="245"/>
      <c r="AK170" s="245"/>
      <c r="AL170" s="245"/>
      <c r="AM170" s="245"/>
      <c r="AN170" s="241">
        <f t="shared" si="328"/>
        <v>311148.75</v>
      </c>
      <c r="AP170" s="245">
        <f>AP68*0.0125</f>
        <v>114137.5</v>
      </c>
      <c r="AQ170" s="245"/>
      <c r="AR170" s="245"/>
      <c r="AS170" s="245"/>
      <c r="AT170" s="245"/>
      <c r="AU170" s="245"/>
      <c r="AV170" s="241">
        <f t="shared" si="329"/>
        <v>114137.5</v>
      </c>
      <c r="AX170" s="245">
        <f>AX68*0.0125</f>
        <v>22579.375</v>
      </c>
      <c r="AY170" s="245"/>
      <c r="AZ170" s="245"/>
      <c r="BA170" s="245"/>
      <c r="BB170" s="245"/>
      <c r="BC170" s="245"/>
      <c r="BD170" s="241">
        <f t="shared" si="330"/>
        <v>22579.375</v>
      </c>
      <c r="BF170" s="245"/>
      <c r="BG170" s="245"/>
      <c r="BH170" s="245"/>
      <c r="BI170" s="245"/>
      <c r="BJ170" s="245"/>
      <c r="BK170" s="245"/>
      <c r="BL170" s="241">
        <f t="shared" si="331"/>
        <v>0</v>
      </c>
      <c r="BN170" s="241">
        <f t="shared" si="332"/>
        <v>1151175.9375</v>
      </c>
      <c r="BO170" s="241">
        <f t="shared" si="323"/>
        <v>0</v>
      </c>
      <c r="BP170" s="241">
        <f t="shared" si="323"/>
        <v>0</v>
      </c>
      <c r="BQ170" s="241">
        <f t="shared" si="323"/>
        <v>0</v>
      </c>
      <c r="BR170" s="241">
        <f t="shared" si="323"/>
        <v>0</v>
      </c>
      <c r="BS170" s="241">
        <f t="shared" si="323"/>
        <v>0</v>
      </c>
      <c r="BT170" s="241">
        <f t="shared" si="333"/>
        <v>1151175.9375</v>
      </c>
    </row>
    <row r="171" spans="1:72" x14ac:dyDescent="0.25">
      <c r="A171" s="213"/>
      <c r="B171" s="258">
        <f>SUM(B162:B170)</f>
        <v>767162.98176500003</v>
      </c>
      <c r="C171" s="258">
        <f t="shared" ref="C171:H171" si="334">SUM(C162:C170)</f>
        <v>0</v>
      </c>
      <c r="D171" s="258">
        <f t="shared" si="334"/>
        <v>0</v>
      </c>
      <c r="E171" s="258">
        <f t="shared" si="334"/>
        <v>0</v>
      </c>
      <c r="F171" s="258">
        <f t="shared" si="334"/>
        <v>0</v>
      </c>
      <c r="G171" s="258">
        <f t="shared" si="334"/>
        <v>0</v>
      </c>
      <c r="H171" s="258">
        <f t="shared" si="334"/>
        <v>767162.98176500003</v>
      </c>
      <c r="J171" s="258">
        <f>SUM(J162:J170)</f>
        <v>1952252.9837240002</v>
      </c>
      <c r="K171" s="258">
        <f t="shared" ref="K171:P171" si="335">SUM(K162:K170)</f>
        <v>0</v>
      </c>
      <c r="L171" s="258">
        <f t="shared" si="335"/>
        <v>0</v>
      </c>
      <c r="M171" s="258">
        <f t="shared" si="335"/>
        <v>0</v>
      </c>
      <c r="N171" s="258">
        <f t="shared" si="335"/>
        <v>0</v>
      </c>
      <c r="O171" s="258">
        <f t="shared" si="335"/>
        <v>0</v>
      </c>
      <c r="P171" s="258">
        <f t="shared" si="335"/>
        <v>1952252.9837240002</v>
      </c>
      <c r="R171" s="258">
        <f>SUM(R162:R170)</f>
        <v>888185.10586507048</v>
      </c>
      <c r="S171" s="258">
        <f t="shared" ref="S171:X171" si="336">SUM(S162:S170)</f>
        <v>0</v>
      </c>
      <c r="T171" s="258">
        <f t="shared" si="336"/>
        <v>0</v>
      </c>
      <c r="U171" s="258">
        <f t="shared" si="336"/>
        <v>0</v>
      </c>
      <c r="V171" s="258">
        <f t="shared" si="336"/>
        <v>0</v>
      </c>
      <c r="W171" s="258">
        <f t="shared" si="336"/>
        <v>0</v>
      </c>
      <c r="X171" s="258">
        <f t="shared" si="336"/>
        <v>888185.10586507048</v>
      </c>
      <c r="Z171" s="258">
        <f>SUM(Z162:Z170)</f>
        <v>975624.91622500005</v>
      </c>
      <c r="AA171" s="258">
        <f t="shared" ref="AA171:AF171" si="337">SUM(AA162:AA170)</f>
        <v>0</v>
      </c>
      <c r="AB171" s="258">
        <f t="shared" si="337"/>
        <v>0</v>
      </c>
      <c r="AC171" s="258">
        <f t="shared" si="337"/>
        <v>0</v>
      </c>
      <c r="AD171" s="258">
        <f t="shared" si="337"/>
        <v>0</v>
      </c>
      <c r="AE171" s="258">
        <f t="shared" si="337"/>
        <v>0</v>
      </c>
      <c r="AF171" s="258">
        <f t="shared" si="337"/>
        <v>975624.91622500005</v>
      </c>
      <c r="AH171" s="258">
        <f>SUM(AH162:AH170)</f>
        <v>1951276.5360690001</v>
      </c>
      <c r="AI171" s="258">
        <f t="shared" ref="AI171:AN171" si="338">SUM(AI162:AI170)</f>
        <v>0</v>
      </c>
      <c r="AJ171" s="258">
        <f t="shared" si="338"/>
        <v>0</v>
      </c>
      <c r="AK171" s="258">
        <f t="shared" si="338"/>
        <v>0</v>
      </c>
      <c r="AL171" s="258">
        <f t="shared" si="338"/>
        <v>0</v>
      </c>
      <c r="AM171" s="258">
        <f t="shared" si="338"/>
        <v>0</v>
      </c>
      <c r="AN171" s="258">
        <f t="shared" si="338"/>
        <v>1951276.5360690001</v>
      </c>
      <c r="AP171" s="258">
        <f>SUM(AP162:AP170)</f>
        <v>724427.04405000003</v>
      </c>
      <c r="AQ171" s="258">
        <f t="shared" ref="AQ171:AV171" si="339">SUM(AQ162:AQ170)</f>
        <v>0</v>
      </c>
      <c r="AR171" s="258">
        <f t="shared" si="339"/>
        <v>0</v>
      </c>
      <c r="AS171" s="258">
        <f t="shared" si="339"/>
        <v>0</v>
      </c>
      <c r="AT171" s="258">
        <f t="shared" si="339"/>
        <v>0</v>
      </c>
      <c r="AU171" s="258">
        <f t="shared" si="339"/>
        <v>0</v>
      </c>
      <c r="AV171" s="258">
        <f t="shared" si="339"/>
        <v>724427.04405000003</v>
      </c>
      <c r="AX171" s="258">
        <f>SUM(AX162:AX170)</f>
        <v>351529.858465</v>
      </c>
      <c r="AY171" s="258">
        <f t="shared" ref="AY171:BD171" si="340">SUM(AY162:AY170)</f>
        <v>0</v>
      </c>
      <c r="AZ171" s="258">
        <f t="shared" si="340"/>
        <v>0</v>
      </c>
      <c r="BA171" s="258">
        <f t="shared" si="340"/>
        <v>0</v>
      </c>
      <c r="BB171" s="258">
        <f t="shared" si="340"/>
        <v>0</v>
      </c>
      <c r="BC171" s="258">
        <f t="shared" si="340"/>
        <v>0</v>
      </c>
      <c r="BD171" s="258">
        <f t="shared" si="340"/>
        <v>351529.858465</v>
      </c>
      <c r="BF171" s="258">
        <f>SUM(BF162:BF170)</f>
        <v>8000</v>
      </c>
      <c r="BG171" s="258">
        <f t="shared" ref="BG171:BL171" si="341">SUM(BG162:BG170)</f>
        <v>0</v>
      </c>
      <c r="BH171" s="258">
        <f t="shared" si="341"/>
        <v>0</v>
      </c>
      <c r="BI171" s="258">
        <f t="shared" si="341"/>
        <v>0</v>
      </c>
      <c r="BJ171" s="258">
        <f t="shared" si="341"/>
        <v>0</v>
      </c>
      <c r="BK171" s="258">
        <f t="shared" si="341"/>
        <v>0</v>
      </c>
      <c r="BL171" s="258">
        <f t="shared" si="341"/>
        <v>8000</v>
      </c>
      <c r="BN171" s="258">
        <f>SUM(BN162:BN170)</f>
        <v>7618459.4261630708</v>
      </c>
      <c r="BO171" s="258">
        <f t="shared" ref="BO171:BT171" si="342">SUM(BO162:BO170)</f>
        <v>0</v>
      </c>
      <c r="BP171" s="258">
        <f t="shared" si="342"/>
        <v>0</v>
      </c>
      <c r="BQ171" s="258">
        <f t="shared" si="342"/>
        <v>0</v>
      </c>
      <c r="BR171" s="258">
        <f t="shared" si="342"/>
        <v>0</v>
      </c>
      <c r="BS171" s="258">
        <f t="shared" si="342"/>
        <v>0</v>
      </c>
      <c r="BT171" s="258">
        <f t="shared" si="342"/>
        <v>7618459.4261630708</v>
      </c>
    </row>
    <row r="172" spans="1:72" x14ac:dyDescent="0.25">
      <c r="B172" s="259"/>
      <c r="C172" s="259"/>
      <c r="D172" s="259"/>
      <c r="E172" s="259"/>
      <c r="F172" s="259"/>
      <c r="G172" s="259"/>
      <c r="H172" s="259"/>
      <c r="J172" s="259"/>
      <c r="K172" s="259"/>
      <c r="L172" s="259"/>
      <c r="M172" s="259"/>
      <c r="N172" s="259"/>
      <c r="O172" s="259"/>
      <c r="P172" s="259"/>
      <c r="R172" s="259"/>
      <c r="S172" s="259"/>
      <c r="T172" s="259"/>
      <c r="U172" s="259"/>
      <c r="V172" s="259"/>
      <c r="W172" s="259"/>
      <c r="X172" s="259"/>
      <c r="Z172" s="259"/>
      <c r="AA172" s="259"/>
      <c r="AB172" s="259"/>
      <c r="AC172" s="259"/>
      <c r="AD172" s="259"/>
      <c r="AE172" s="259"/>
      <c r="AF172" s="259"/>
      <c r="AH172" s="259"/>
      <c r="AI172" s="259"/>
      <c r="AJ172" s="259"/>
      <c r="AK172" s="259"/>
      <c r="AL172" s="259"/>
      <c r="AM172" s="259"/>
      <c r="AN172" s="259"/>
      <c r="AP172" s="259"/>
      <c r="AQ172" s="259"/>
      <c r="AR172" s="259"/>
      <c r="AS172" s="259"/>
      <c r="AT172" s="259"/>
      <c r="AU172" s="259"/>
      <c r="AV172" s="259"/>
      <c r="AX172" s="259"/>
      <c r="AY172" s="259"/>
      <c r="AZ172" s="259"/>
      <c r="BA172" s="259"/>
      <c r="BB172" s="259"/>
      <c r="BC172" s="259"/>
      <c r="BD172" s="259"/>
      <c r="BF172" s="259"/>
      <c r="BG172" s="259"/>
      <c r="BH172" s="259"/>
      <c r="BI172" s="259"/>
      <c r="BJ172" s="259"/>
      <c r="BK172" s="259"/>
      <c r="BL172" s="259"/>
      <c r="BN172" s="259"/>
      <c r="BO172" s="259"/>
      <c r="BP172" s="259"/>
      <c r="BQ172" s="259"/>
      <c r="BR172" s="259"/>
      <c r="BS172" s="259"/>
      <c r="BT172" s="259"/>
    </row>
    <row r="173" spans="1:72" x14ac:dyDescent="0.25">
      <c r="A173" s="208" t="s">
        <v>336</v>
      </c>
      <c r="B173" s="260" t="s">
        <v>309</v>
      </c>
      <c r="C173" s="260" t="s">
        <v>310</v>
      </c>
      <c r="D173" s="260" t="s">
        <v>311</v>
      </c>
      <c r="E173" s="260" t="str">
        <f>E161</f>
        <v>Other</v>
      </c>
      <c r="F173" s="260" t="s">
        <v>315</v>
      </c>
      <c r="G173" s="260" t="s">
        <v>314</v>
      </c>
      <c r="H173" s="260" t="str">
        <f>H161</f>
        <v>Horizon</v>
      </c>
      <c r="J173" s="260" t="s">
        <v>309</v>
      </c>
      <c r="K173" s="260" t="s">
        <v>310</v>
      </c>
      <c r="L173" s="260" t="s">
        <v>311</v>
      </c>
      <c r="M173" s="260" t="str">
        <f>M161</f>
        <v>Other</v>
      </c>
      <c r="N173" s="260" t="s">
        <v>315</v>
      </c>
      <c r="O173" s="260" t="s">
        <v>314</v>
      </c>
      <c r="P173" s="260" t="str">
        <f>P161</f>
        <v>Cadence</v>
      </c>
      <c r="R173" s="260" t="s">
        <v>309</v>
      </c>
      <c r="S173" s="260" t="s">
        <v>310</v>
      </c>
      <c r="T173" s="260" t="s">
        <v>311</v>
      </c>
      <c r="U173" s="260" t="str">
        <f>U161</f>
        <v>Other</v>
      </c>
      <c r="V173" s="260" t="s">
        <v>315</v>
      </c>
      <c r="W173" s="260" t="s">
        <v>314</v>
      </c>
      <c r="X173" s="260" t="str">
        <f>X161</f>
        <v>St. Rose</v>
      </c>
      <c r="Z173" s="260" t="s">
        <v>309</v>
      </c>
      <c r="AA173" s="260" t="s">
        <v>310</v>
      </c>
      <c r="AB173" s="260" t="s">
        <v>311</v>
      </c>
      <c r="AC173" s="260" t="str">
        <f>AC161</f>
        <v>Other</v>
      </c>
      <c r="AD173" s="260" t="s">
        <v>315</v>
      </c>
      <c r="AE173" s="260" t="s">
        <v>314</v>
      </c>
      <c r="AF173" s="260" t="str">
        <f>AF161</f>
        <v>Inspirada</v>
      </c>
      <c r="AH173" s="260" t="s">
        <v>309</v>
      </c>
      <c r="AI173" s="260" t="s">
        <v>310</v>
      </c>
      <c r="AJ173" s="260" t="s">
        <v>311</v>
      </c>
      <c r="AK173" s="260" t="str">
        <f>AK161</f>
        <v>Other</v>
      </c>
      <c r="AL173" s="260" t="s">
        <v>315</v>
      </c>
      <c r="AM173" s="260" t="s">
        <v>314</v>
      </c>
      <c r="AN173" s="260" t="str">
        <f>AN161</f>
        <v>Sloan</v>
      </c>
      <c r="AP173" s="260" t="s">
        <v>309</v>
      </c>
      <c r="AQ173" s="260" t="s">
        <v>310</v>
      </c>
      <c r="AR173" s="260" t="s">
        <v>311</v>
      </c>
      <c r="AS173" s="260" t="str">
        <f>AS161</f>
        <v>Other</v>
      </c>
      <c r="AT173" s="260" t="s">
        <v>315</v>
      </c>
      <c r="AU173" s="260" t="s">
        <v>314</v>
      </c>
      <c r="AV173" s="260" t="str">
        <f>AV161</f>
        <v>Springs</v>
      </c>
      <c r="AX173" s="260" t="s">
        <v>309</v>
      </c>
      <c r="AY173" s="260" t="s">
        <v>310</v>
      </c>
      <c r="AZ173" s="260" t="s">
        <v>311</v>
      </c>
      <c r="BA173" s="260" t="str">
        <f>BA161</f>
        <v>Other</v>
      </c>
      <c r="BB173" s="260" t="s">
        <v>315</v>
      </c>
      <c r="BC173" s="260" t="s">
        <v>314</v>
      </c>
      <c r="BD173" s="260" t="str">
        <f>BD161</f>
        <v>Virtual</v>
      </c>
      <c r="BF173" s="260" t="s">
        <v>309</v>
      </c>
      <c r="BG173" s="260" t="s">
        <v>310</v>
      </c>
      <c r="BH173" s="260" t="s">
        <v>311</v>
      </c>
      <c r="BI173" s="260" t="str">
        <f>BI161</f>
        <v>Other</v>
      </c>
      <c r="BJ173" s="260" t="s">
        <v>315</v>
      </c>
      <c r="BK173" s="260" t="s">
        <v>314</v>
      </c>
      <c r="BL173" s="260" t="str">
        <f>BL161</f>
        <v>Central</v>
      </c>
      <c r="BN173" s="260" t="s">
        <v>309</v>
      </c>
      <c r="BO173" s="260" t="s">
        <v>310</v>
      </c>
      <c r="BP173" s="260" t="s">
        <v>311</v>
      </c>
      <c r="BQ173" s="260" t="str">
        <f>BQ161</f>
        <v>Other</v>
      </c>
      <c r="BR173" s="260" t="s">
        <v>315</v>
      </c>
      <c r="BS173" s="260" t="s">
        <v>314</v>
      </c>
      <c r="BT173" s="260" t="str">
        <f>BT161</f>
        <v>System</v>
      </c>
    </row>
    <row r="174" spans="1:72" x14ac:dyDescent="0.25">
      <c r="A174" s="214" t="s">
        <v>275</v>
      </c>
      <c r="B174" s="241">
        <f>((1400*12)+(250*12))*1.02*1.015*1.015*1.01</f>
        <v>21014.488340999997</v>
      </c>
      <c r="C174" s="257"/>
      <c r="D174" s="257"/>
      <c r="E174" s="257"/>
      <c r="F174" s="257"/>
      <c r="G174" s="257"/>
      <c r="H174" s="241">
        <f>SUM(B174:G174)</f>
        <v>21014.488340999997</v>
      </c>
      <c r="J174" s="241">
        <f>((550*12)+(1300*12))*1.02*1.01*1.01*1.01</f>
        <v>23330.135843999997</v>
      </c>
      <c r="K174" s="257"/>
      <c r="L174" s="257"/>
      <c r="M174" s="257"/>
      <c r="N174" s="257"/>
      <c r="O174" s="257"/>
      <c r="P174" s="241">
        <f>SUM(J174:O174)</f>
        <v>23330.135843999997</v>
      </c>
      <c r="R174" s="241">
        <f>((300*12)+(1000*12))*1.02*1.01*1.01*1.01</f>
        <v>16394.149512</v>
      </c>
      <c r="S174" s="257"/>
      <c r="T174" s="257"/>
      <c r="U174" s="257"/>
      <c r="V174" s="257"/>
      <c r="W174" s="257"/>
      <c r="X174" s="241">
        <f>SUM(R174:W174)</f>
        <v>16394.149512</v>
      </c>
      <c r="Z174" s="241">
        <f>((250*12)+(2200*12))*1.02*1.01*1.01*1.01</f>
        <v>30896.666388000001</v>
      </c>
      <c r="AA174" s="257"/>
      <c r="AB174" s="257"/>
      <c r="AC174" s="257"/>
      <c r="AD174" s="257"/>
      <c r="AE174" s="257"/>
      <c r="AF174" s="241">
        <f>SUM(Z174:AE174)</f>
        <v>30896.666388000001</v>
      </c>
      <c r="AH174" s="241">
        <f>((500*12)+(1200*12))*1.02*1.01*1.01*1.01</f>
        <v>21438.503208000002</v>
      </c>
      <c r="AI174" s="257"/>
      <c r="AJ174" s="257"/>
      <c r="AK174" s="257"/>
      <c r="AL174" s="257"/>
      <c r="AM174" s="257"/>
      <c r="AN174" s="241">
        <f>SUM(AH174:AM174)</f>
        <v>21438.503208000002</v>
      </c>
      <c r="AP174" s="241">
        <f>12000*1.01*1.01*1.01</f>
        <v>12363.612000000001</v>
      </c>
      <c r="AQ174" s="257"/>
      <c r="AR174" s="257"/>
      <c r="AS174" s="257"/>
      <c r="AT174" s="257"/>
      <c r="AU174" s="257"/>
      <c r="AV174" s="241">
        <f>SUM(AP174:AU174)</f>
        <v>12363.612000000001</v>
      </c>
      <c r="AX174" s="241"/>
      <c r="AY174" s="257"/>
      <c r="AZ174" s="257"/>
      <c r="BA174" s="257"/>
      <c r="BB174" s="257"/>
      <c r="BC174" s="257"/>
      <c r="BD174" s="241">
        <f>SUM(AX174:BC174)</f>
        <v>0</v>
      </c>
      <c r="BF174" s="241"/>
      <c r="BG174" s="241"/>
      <c r="BH174" s="241"/>
      <c r="BI174" s="241"/>
      <c r="BJ174" s="241"/>
      <c r="BK174" s="241"/>
      <c r="BL174" s="241">
        <f>SUM(BF174:BK174)</f>
        <v>0</v>
      </c>
      <c r="BN174" s="241">
        <f>B174+J174+R174+Z174+AH174+AP174+AX174+BF174</f>
        <v>125437.55529299998</v>
      </c>
      <c r="BO174" s="241">
        <f t="shared" ref="BO174:BS189" si="343">C174+K174+S174+AA174+AI174+AQ174+AY174+BG174</f>
        <v>0</v>
      </c>
      <c r="BP174" s="241">
        <f t="shared" si="343"/>
        <v>0</v>
      </c>
      <c r="BQ174" s="241">
        <f t="shared" si="343"/>
        <v>0</v>
      </c>
      <c r="BR174" s="241">
        <f t="shared" si="343"/>
        <v>0</v>
      </c>
      <c r="BS174" s="241">
        <f t="shared" si="343"/>
        <v>0</v>
      </c>
      <c r="BT174" s="241">
        <f>SUM(BN174:BS174)</f>
        <v>125437.55529299998</v>
      </c>
    </row>
    <row r="175" spans="1:72" x14ac:dyDescent="0.25">
      <c r="A175" s="211" t="s">
        <v>276</v>
      </c>
      <c r="B175" s="241">
        <f>1000+100+100+100+100</f>
        <v>1400</v>
      </c>
      <c r="C175" s="244"/>
      <c r="D175" s="244"/>
      <c r="E175" s="244"/>
      <c r="F175" s="244"/>
      <c r="G175" s="244"/>
      <c r="H175" s="241">
        <f t="shared" ref="H175:H192" si="344">SUM(B175:G175)</f>
        <v>1400</v>
      </c>
      <c r="J175" s="241">
        <f>2000+100+100+150+150</f>
        <v>2500</v>
      </c>
      <c r="K175" s="244"/>
      <c r="L175" s="244"/>
      <c r="M175" s="244"/>
      <c r="N175" s="244"/>
      <c r="O175" s="244"/>
      <c r="P175" s="241">
        <f t="shared" ref="P175:P192" si="345">SUM(J175:O175)</f>
        <v>2500</v>
      </c>
      <c r="R175" s="241">
        <f>1250+100+100+150+150</f>
        <v>1750</v>
      </c>
      <c r="S175" s="244"/>
      <c r="T175" s="244"/>
      <c r="U175" s="244"/>
      <c r="V175" s="244"/>
      <c r="W175" s="244"/>
      <c r="X175" s="241">
        <f t="shared" ref="X175:X192" si="346">SUM(R175:W175)</f>
        <v>1750</v>
      </c>
      <c r="Z175" s="241">
        <f>1250+50+50+75+75</f>
        <v>1500</v>
      </c>
      <c r="AA175" s="244"/>
      <c r="AB175" s="244"/>
      <c r="AC175" s="244"/>
      <c r="AD175" s="244"/>
      <c r="AE175" s="244"/>
      <c r="AF175" s="241">
        <f t="shared" ref="AF175:AF192" si="347">SUM(Z175:AE175)</f>
        <v>1500</v>
      </c>
      <c r="AH175" s="241">
        <f>2000+100+100+100+100</f>
        <v>2400</v>
      </c>
      <c r="AI175" s="244"/>
      <c r="AJ175" s="244"/>
      <c r="AK175" s="244"/>
      <c r="AL175" s="244"/>
      <c r="AM175" s="244"/>
      <c r="AN175" s="241">
        <f t="shared" ref="AN175:AN192" si="348">SUM(AH175:AM175)</f>
        <v>2400</v>
      </c>
      <c r="AP175" s="241">
        <f>1500+150+150+150</f>
        <v>1950</v>
      </c>
      <c r="AQ175" s="244"/>
      <c r="AR175" s="244"/>
      <c r="AS175" s="244"/>
      <c r="AT175" s="244"/>
      <c r="AU175" s="244"/>
      <c r="AV175" s="241">
        <f t="shared" ref="AV175:AV192" si="349">SUM(AP175:AU175)</f>
        <v>1950</v>
      </c>
      <c r="AX175" s="241">
        <f>2000+250+250+250+250</f>
        <v>3000</v>
      </c>
      <c r="AY175" s="244"/>
      <c r="AZ175" s="244"/>
      <c r="BA175" s="244"/>
      <c r="BB175" s="244"/>
      <c r="BC175" s="244"/>
      <c r="BD175" s="241">
        <f t="shared" ref="BD175:BD192" si="350">SUM(AX175:BC175)</f>
        <v>3000</v>
      </c>
      <c r="BF175" s="241"/>
      <c r="BG175" s="242"/>
      <c r="BH175" s="242"/>
      <c r="BI175" s="242"/>
      <c r="BJ175" s="242"/>
      <c r="BK175" s="242"/>
      <c r="BL175" s="241">
        <f t="shared" ref="BL175:BL192" si="351">SUM(BF175:BK175)</f>
        <v>0</v>
      </c>
      <c r="BN175" s="241">
        <f t="shared" ref="BN175:BS193" si="352">B175+J175+R175+Z175+AH175+AP175+AX175+BF175</f>
        <v>14500</v>
      </c>
      <c r="BO175" s="241">
        <f t="shared" si="343"/>
        <v>0</v>
      </c>
      <c r="BP175" s="241">
        <f t="shared" si="343"/>
        <v>0</v>
      </c>
      <c r="BQ175" s="241">
        <f t="shared" si="343"/>
        <v>0</v>
      </c>
      <c r="BR175" s="241">
        <f t="shared" si="343"/>
        <v>0</v>
      </c>
      <c r="BS175" s="241">
        <f t="shared" si="343"/>
        <v>0</v>
      </c>
      <c r="BT175" s="241">
        <f t="shared" ref="BT175:BT192" si="353">SUM(BN175:BS175)</f>
        <v>14500</v>
      </c>
    </row>
    <row r="176" spans="1:72" x14ac:dyDescent="0.25">
      <c r="A176" s="211" t="s">
        <v>277</v>
      </c>
      <c r="B176" s="241">
        <f>5000+500+500+500+500</f>
        <v>7000</v>
      </c>
      <c r="C176" s="244"/>
      <c r="D176" s="244"/>
      <c r="E176" s="244"/>
      <c r="F176" s="244"/>
      <c r="G176" s="244"/>
      <c r="H176" s="241">
        <f t="shared" si="344"/>
        <v>7000</v>
      </c>
      <c r="J176" s="241">
        <f>5000+500+500+500+500</f>
        <v>7000</v>
      </c>
      <c r="K176" s="244"/>
      <c r="L176" s="244"/>
      <c r="M176" s="244"/>
      <c r="N176" s="244"/>
      <c r="O176" s="244"/>
      <c r="P176" s="241">
        <f t="shared" si="345"/>
        <v>7000</v>
      </c>
      <c r="R176" s="241">
        <f>5000+500+500+500+500</f>
        <v>7000</v>
      </c>
      <c r="S176" s="244"/>
      <c r="T176" s="244"/>
      <c r="U176" s="244"/>
      <c r="V176" s="244"/>
      <c r="W176" s="244"/>
      <c r="X176" s="241">
        <f t="shared" si="346"/>
        <v>7000</v>
      </c>
      <c r="Z176" s="241">
        <f>5000+500+500+500+500</f>
        <v>7000</v>
      </c>
      <c r="AA176" s="244"/>
      <c r="AB176" s="244"/>
      <c r="AC176" s="244"/>
      <c r="AD176" s="244"/>
      <c r="AE176" s="244"/>
      <c r="AF176" s="241">
        <f t="shared" si="347"/>
        <v>7000</v>
      </c>
      <c r="AH176" s="241">
        <f>5000+500+500+500+500</f>
        <v>7000</v>
      </c>
      <c r="AI176" s="244"/>
      <c r="AJ176" s="244"/>
      <c r="AK176" s="244"/>
      <c r="AL176" s="244"/>
      <c r="AM176" s="244"/>
      <c r="AN176" s="241">
        <f t="shared" si="348"/>
        <v>7000</v>
      </c>
      <c r="AP176" s="241">
        <f>5000+500+500+500+500</f>
        <v>7000</v>
      </c>
      <c r="AQ176" s="244"/>
      <c r="AR176" s="244"/>
      <c r="AS176" s="244"/>
      <c r="AT176" s="244"/>
      <c r="AU176" s="244"/>
      <c r="AV176" s="241">
        <f t="shared" si="349"/>
        <v>7000</v>
      </c>
      <c r="AX176" s="241">
        <f>5000+500+500+500+500</f>
        <v>7000</v>
      </c>
      <c r="AY176" s="244"/>
      <c r="AZ176" s="244"/>
      <c r="BA176" s="244"/>
      <c r="BB176" s="244"/>
      <c r="BC176" s="244"/>
      <c r="BD176" s="241">
        <f t="shared" si="350"/>
        <v>7000</v>
      </c>
      <c r="BF176" s="241"/>
      <c r="BG176" s="242"/>
      <c r="BH176" s="242"/>
      <c r="BI176" s="242"/>
      <c r="BJ176" s="242"/>
      <c r="BK176" s="242"/>
      <c r="BL176" s="241">
        <f t="shared" si="351"/>
        <v>0</v>
      </c>
      <c r="BN176" s="241">
        <f t="shared" si="352"/>
        <v>49000</v>
      </c>
      <c r="BO176" s="241">
        <f t="shared" si="343"/>
        <v>0</v>
      </c>
      <c r="BP176" s="241">
        <f t="shared" si="343"/>
        <v>0</v>
      </c>
      <c r="BQ176" s="241">
        <f t="shared" si="343"/>
        <v>0</v>
      </c>
      <c r="BR176" s="241">
        <f t="shared" si="343"/>
        <v>0</v>
      </c>
      <c r="BS176" s="241">
        <f t="shared" si="343"/>
        <v>0</v>
      </c>
      <c r="BT176" s="241">
        <f t="shared" si="353"/>
        <v>49000</v>
      </c>
    </row>
    <row r="177" spans="1:72" x14ac:dyDescent="0.25">
      <c r="A177" s="211" t="s">
        <v>278</v>
      </c>
      <c r="B177" s="241">
        <f>45000*1.03*1.03*1.03*1.03</f>
        <v>50647.896450000007</v>
      </c>
      <c r="C177" s="244"/>
      <c r="D177" s="244"/>
      <c r="E177" s="244"/>
      <c r="F177" s="244"/>
      <c r="G177" s="244"/>
      <c r="H177" s="241">
        <f t="shared" si="344"/>
        <v>50647.896450000007</v>
      </c>
      <c r="J177" s="241">
        <f>100000*1.03*1.03*1.03*1.03</f>
        <v>112550.88099999999</v>
      </c>
      <c r="K177" s="244"/>
      <c r="L177" s="244"/>
      <c r="M177" s="244"/>
      <c r="N177" s="244"/>
      <c r="O177" s="244"/>
      <c r="P177" s="241">
        <f t="shared" si="345"/>
        <v>112550.88099999999</v>
      </c>
      <c r="R177" s="241">
        <f>50000*1.04*1.03*1.03*1.03</f>
        <v>56821.804000000004</v>
      </c>
      <c r="S177" s="244"/>
      <c r="T177" s="244"/>
      <c r="U177" s="244"/>
      <c r="V177" s="244"/>
      <c r="W177" s="244"/>
      <c r="X177" s="241">
        <f t="shared" si="346"/>
        <v>56821.804000000004</v>
      </c>
      <c r="Z177" s="241">
        <f>60000*1.03*1.03*1.03*1.03</f>
        <v>67530.528599999991</v>
      </c>
      <c r="AA177" s="244"/>
      <c r="AB177" s="244"/>
      <c r="AC177" s="244"/>
      <c r="AD177" s="244"/>
      <c r="AE177" s="244"/>
      <c r="AF177" s="241">
        <f t="shared" si="347"/>
        <v>67530.528599999991</v>
      </c>
      <c r="AH177" s="241">
        <f>100000*1.03*1.03*1.03*1.03</f>
        <v>112550.88099999999</v>
      </c>
      <c r="AI177" s="244"/>
      <c r="AJ177" s="244"/>
      <c r="AK177" s="244"/>
      <c r="AL177" s="244"/>
      <c r="AM177" s="244"/>
      <c r="AN177" s="241">
        <f t="shared" si="348"/>
        <v>112550.88099999999</v>
      </c>
      <c r="AP177" s="241">
        <f>30000*1.03*1.03*1.03</f>
        <v>32781.81</v>
      </c>
      <c r="AQ177" s="244"/>
      <c r="AR177" s="244"/>
      <c r="AS177" s="244"/>
      <c r="AT177" s="244"/>
      <c r="AU177" s="244"/>
      <c r="AV177" s="241">
        <f t="shared" si="349"/>
        <v>32781.81</v>
      </c>
      <c r="AX177" s="241">
        <f>7500+500+500+500+500</f>
        <v>9500</v>
      </c>
      <c r="AY177" s="244"/>
      <c r="AZ177" s="244"/>
      <c r="BA177" s="244"/>
      <c r="BB177" s="244"/>
      <c r="BC177" s="244"/>
      <c r="BD177" s="241">
        <f t="shared" si="350"/>
        <v>9500</v>
      </c>
      <c r="BF177" s="241"/>
      <c r="BG177" s="242"/>
      <c r="BH177" s="242"/>
      <c r="BI177" s="242"/>
      <c r="BJ177" s="242"/>
      <c r="BK177" s="242"/>
      <c r="BL177" s="241">
        <f t="shared" si="351"/>
        <v>0</v>
      </c>
      <c r="BN177" s="241">
        <f t="shared" si="352"/>
        <v>442383.80105000001</v>
      </c>
      <c r="BO177" s="241">
        <f t="shared" si="343"/>
        <v>0</v>
      </c>
      <c r="BP177" s="241">
        <f t="shared" si="343"/>
        <v>0</v>
      </c>
      <c r="BQ177" s="241">
        <f t="shared" si="343"/>
        <v>0</v>
      </c>
      <c r="BR177" s="241">
        <f t="shared" si="343"/>
        <v>0</v>
      </c>
      <c r="BS177" s="241">
        <f t="shared" si="343"/>
        <v>0</v>
      </c>
      <c r="BT177" s="241">
        <f t="shared" si="353"/>
        <v>442383.80105000001</v>
      </c>
    </row>
    <row r="178" spans="1:72" x14ac:dyDescent="0.25">
      <c r="A178" s="211" t="s">
        <v>279</v>
      </c>
      <c r="B178" s="241">
        <f>((2+2.5+0.4+1.95)*B17)*1.03*1.02*1.02*1.02</f>
        <v>6940.7762717880014</v>
      </c>
      <c r="C178" s="244"/>
      <c r="D178" s="244"/>
      <c r="E178" s="244"/>
      <c r="F178" s="244"/>
      <c r="G178" s="244"/>
      <c r="H178" s="241">
        <f t="shared" si="344"/>
        <v>6940.7762717880014</v>
      </c>
      <c r="J178" s="241">
        <f>((2+2.5+0.4+1.95)*J17)*1.03*1.02*1.02*1.02</f>
        <v>18823.205552616004</v>
      </c>
      <c r="K178" s="244"/>
      <c r="L178" s="244"/>
      <c r="M178" s="244"/>
      <c r="N178" s="244"/>
      <c r="O178" s="244"/>
      <c r="P178" s="241">
        <f t="shared" si="345"/>
        <v>18823.205552616004</v>
      </c>
      <c r="R178" s="241">
        <f>((2+2.5+0.4+1.95)*R17)*1.03*1.02*1.02*1.02</f>
        <v>7711.9736353200014</v>
      </c>
      <c r="S178" s="244"/>
      <c r="T178" s="244"/>
      <c r="U178" s="244"/>
      <c r="V178" s="244"/>
      <c r="W178" s="244"/>
      <c r="X178" s="241">
        <f t="shared" si="346"/>
        <v>7711.9736353200014</v>
      </c>
      <c r="Z178" s="241">
        <f>((2+2.5+0.4+1.95)*Z17)*1.02*1.02*1.02*1.02</f>
        <v>8882.7630346080023</v>
      </c>
      <c r="AA178" s="244"/>
      <c r="AB178" s="244"/>
      <c r="AC178" s="244"/>
      <c r="AD178" s="244"/>
      <c r="AE178" s="244"/>
      <c r="AF178" s="241">
        <f t="shared" si="347"/>
        <v>8882.7630346080023</v>
      </c>
      <c r="AH178" s="241">
        <f>((2+2.5+0.4+1.95)*AH17)*1.02*1.02*1.02*1.02</f>
        <v>18595.968022368004</v>
      </c>
      <c r="AI178" s="244"/>
      <c r="AJ178" s="244"/>
      <c r="AK178" s="244"/>
      <c r="AL178" s="244"/>
      <c r="AM178" s="244"/>
      <c r="AN178" s="241">
        <f t="shared" si="348"/>
        <v>18595.968022368004</v>
      </c>
      <c r="AP178" s="241">
        <f>((2+2.5+0.4+1.95)*AP17)*1.02*1.02*1.02*1.02</f>
        <v>6821.4874723200019</v>
      </c>
      <c r="AQ178" s="244"/>
      <c r="AR178" s="244"/>
      <c r="AS178" s="244"/>
      <c r="AT178" s="244"/>
      <c r="AU178" s="244"/>
      <c r="AV178" s="241">
        <f t="shared" si="349"/>
        <v>6821.4874723200019</v>
      </c>
      <c r="AX178" s="241">
        <f>((2+2.5+0.4+1.95)*AX17)*1.01*1.03*1.02*1.03</f>
        <v>1362.5672757060001</v>
      </c>
      <c r="AY178" s="244"/>
      <c r="AZ178" s="244"/>
      <c r="BA178" s="244"/>
      <c r="BB178" s="244"/>
      <c r="BC178" s="244"/>
      <c r="BD178" s="241">
        <f t="shared" si="350"/>
        <v>1362.5672757060001</v>
      </c>
      <c r="BF178" s="241"/>
      <c r="BG178" s="242"/>
      <c r="BH178" s="242"/>
      <c r="BI178" s="242"/>
      <c r="BJ178" s="242"/>
      <c r="BK178" s="242"/>
      <c r="BL178" s="241">
        <f t="shared" si="351"/>
        <v>0</v>
      </c>
      <c r="BN178" s="241">
        <f t="shared" si="352"/>
        <v>69138.741264726006</v>
      </c>
      <c r="BO178" s="241">
        <f t="shared" si="343"/>
        <v>0</v>
      </c>
      <c r="BP178" s="241">
        <f t="shared" si="343"/>
        <v>0</v>
      </c>
      <c r="BQ178" s="241">
        <f t="shared" si="343"/>
        <v>0</v>
      </c>
      <c r="BR178" s="241">
        <f t="shared" si="343"/>
        <v>0</v>
      </c>
      <c r="BS178" s="241">
        <f t="shared" si="343"/>
        <v>0</v>
      </c>
      <c r="BT178" s="241">
        <f t="shared" si="353"/>
        <v>69138.741264726006</v>
      </c>
    </row>
    <row r="179" spans="1:72" x14ac:dyDescent="0.25">
      <c r="A179" s="211" t="s">
        <v>280</v>
      </c>
      <c r="B179" s="241">
        <f>71000*1.15*1.12*1.15*1.13</f>
        <v>118836.67600000001</v>
      </c>
      <c r="C179" s="244"/>
      <c r="D179" s="244"/>
      <c r="E179" s="244"/>
      <c r="F179" s="244"/>
      <c r="G179" s="244"/>
      <c r="H179" s="241">
        <f t="shared" si="344"/>
        <v>118836.67600000001</v>
      </c>
      <c r="J179" s="241">
        <f>194000*1.15*1.12*1.15*1.13</f>
        <v>324708.66399999993</v>
      </c>
      <c r="K179" s="244"/>
      <c r="L179" s="244"/>
      <c r="M179" s="244"/>
      <c r="N179" s="244"/>
      <c r="O179" s="244"/>
      <c r="P179" s="241">
        <f t="shared" si="345"/>
        <v>324708.66399999993</v>
      </c>
      <c r="R179" s="241">
        <f>80500*1.15*1.12*1.15*1.13</f>
        <v>134737.35800000001</v>
      </c>
      <c r="S179" s="244"/>
      <c r="T179" s="244"/>
      <c r="U179" s="244"/>
      <c r="V179" s="244"/>
      <c r="W179" s="244"/>
      <c r="X179" s="241">
        <f t="shared" si="346"/>
        <v>134737.35800000001</v>
      </c>
      <c r="Z179" s="241">
        <f>92500*1.15*1.12*1.15*1.13</f>
        <v>154822.43</v>
      </c>
      <c r="AA179" s="244"/>
      <c r="AB179" s="244"/>
      <c r="AC179" s="244"/>
      <c r="AD179" s="244"/>
      <c r="AE179" s="244"/>
      <c r="AF179" s="241">
        <f t="shared" si="347"/>
        <v>154822.43</v>
      </c>
      <c r="AH179" s="241">
        <f>188500*1.15*1.12*1.15*1.13</f>
        <v>315503.00599999994</v>
      </c>
      <c r="AI179" s="244"/>
      <c r="AJ179" s="244"/>
      <c r="AK179" s="244"/>
      <c r="AL179" s="244"/>
      <c r="AM179" s="244"/>
      <c r="AN179" s="241">
        <f t="shared" si="348"/>
        <v>315503.00599999994</v>
      </c>
      <c r="AP179" s="241">
        <f>95000*1.13</f>
        <v>107349.99999999999</v>
      </c>
      <c r="AQ179" s="244"/>
      <c r="AR179" s="244"/>
      <c r="AS179" s="244"/>
      <c r="AT179" s="244"/>
      <c r="AU179" s="244"/>
      <c r="AV179" s="241">
        <f t="shared" si="349"/>
        <v>107349.99999999999</v>
      </c>
      <c r="AX179" s="241">
        <f>11000*1.15*1.12*1.15*1.13</f>
        <v>18411.315999999995</v>
      </c>
      <c r="AY179" s="244"/>
      <c r="AZ179" s="244"/>
      <c r="BA179" s="244"/>
      <c r="BB179" s="244"/>
      <c r="BC179" s="244"/>
      <c r="BD179" s="241">
        <f t="shared" si="350"/>
        <v>18411.315999999995</v>
      </c>
      <c r="BF179" s="241"/>
      <c r="BG179" s="242"/>
      <c r="BH179" s="242"/>
      <c r="BI179" s="242"/>
      <c r="BJ179" s="242"/>
      <c r="BK179" s="242"/>
      <c r="BL179" s="241">
        <f t="shared" si="351"/>
        <v>0</v>
      </c>
      <c r="BN179" s="241">
        <f t="shared" si="352"/>
        <v>1174369.4500000002</v>
      </c>
      <c r="BO179" s="241">
        <f t="shared" si="343"/>
        <v>0</v>
      </c>
      <c r="BP179" s="241">
        <f t="shared" si="343"/>
        <v>0</v>
      </c>
      <c r="BQ179" s="241">
        <f t="shared" si="343"/>
        <v>0</v>
      </c>
      <c r="BR179" s="241">
        <f t="shared" si="343"/>
        <v>0</v>
      </c>
      <c r="BS179" s="241">
        <f t="shared" si="343"/>
        <v>0</v>
      </c>
      <c r="BT179" s="241">
        <f t="shared" si="353"/>
        <v>1174369.4500000002</v>
      </c>
    </row>
    <row r="180" spans="1:72" x14ac:dyDescent="0.25">
      <c r="A180" s="211" t="s">
        <v>281</v>
      </c>
      <c r="B180" s="241">
        <v>0</v>
      </c>
      <c r="C180" s="244"/>
      <c r="D180" s="242">
        <f>125*2.4*180</f>
        <v>54000</v>
      </c>
      <c r="E180" s="244"/>
      <c r="F180" s="244"/>
      <c r="G180" s="244"/>
      <c r="H180" s="241">
        <f t="shared" si="344"/>
        <v>54000</v>
      </c>
      <c r="J180" s="241">
        <v>0</v>
      </c>
      <c r="K180" s="244"/>
      <c r="L180" s="242">
        <f>200*2.4*180</f>
        <v>86400</v>
      </c>
      <c r="M180" s="244"/>
      <c r="N180" s="244"/>
      <c r="O180" s="244"/>
      <c r="P180" s="241">
        <f t="shared" si="345"/>
        <v>86400</v>
      </c>
      <c r="R180" s="241">
        <v>0</v>
      </c>
      <c r="S180" s="244"/>
      <c r="T180" s="242">
        <v>0</v>
      </c>
      <c r="U180" s="244"/>
      <c r="V180" s="244"/>
      <c r="W180" s="244"/>
      <c r="X180" s="241">
        <f t="shared" si="346"/>
        <v>0</v>
      </c>
      <c r="Z180" s="241">
        <v>0</v>
      </c>
      <c r="AA180" s="244"/>
      <c r="AB180" s="244"/>
      <c r="AC180" s="244"/>
      <c r="AD180" s="244"/>
      <c r="AE180" s="244"/>
      <c r="AF180" s="241">
        <f t="shared" si="347"/>
        <v>0</v>
      </c>
      <c r="AH180" s="241">
        <v>0</v>
      </c>
      <c r="AI180" s="244"/>
      <c r="AJ180" s="242">
        <v>0</v>
      </c>
      <c r="AK180" s="244"/>
      <c r="AL180" s="244"/>
      <c r="AM180" s="244"/>
      <c r="AN180" s="241">
        <f t="shared" si="348"/>
        <v>0</v>
      </c>
      <c r="AP180" s="241">
        <v>0</v>
      </c>
      <c r="AQ180" s="244"/>
      <c r="AR180" s="242">
        <f>250*2.3*180</f>
        <v>103500</v>
      </c>
      <c r="AS180" s="244"/>
      <c r="AT180" s="244"/>
      <c r="AU180" s="244"/>
      <c r="AV180" s="241">
        <f t="shared" si="349"/>
        <v>103500</v>
      </c>
      <c r="AX180" s="241">
        <v>0</v>
      </c>
      <c r="AY180" s="244"/>
      <c r="AZ180" s="244">
        <v>0</v>
      </c>
      <c r="BA180" s="244"/>
      <c r="BB180" s="244"/>
      <c r="BC180" s="244"/>
      <c r="BD180" s="241">
        <f t="shared" si="350"/>
        <v>0</v>
      </c>
      <c r="BF180" s="241"/>
      <c r="BG180" s="242"/>
      <c r="BH180" s="242"/>
      <c r="BI180" s="242"/>
      <c r="BJ180" s="242"/>
      <c r="BK180" s="242"/>
      <c r="BL180" s="241">
        <f t="shared" si="351"/>
        <v>0</v>
      </c>
      <c r="BN180" s="241">
        <f t="shared" si="352"/>
        <v>0</v>
      </c>
      <c r="BO180" s="241">
        <f t="shared" si="343"/>
        <v>0</v>
      </c>
      <c r="BP180" s="241">
        <f t="shared" si="343"/>
        <v>243900</v>
      </c>
      <c r="BQ180" s="241">
        <f t="shared" si="343"/>
        <v>0</v>
      </c>
      <c r="BR180" s="241">
        <f t="shared" si="343"/>
        <v>0</v>
      </c>
      <c r="BS180" s="241">
        <f t="shared" si="343"/>
        <v>0</v>
      </c>
      <c r="BT180" s="241">
        <f t="shared" si="353"/>
        <v>243900</v>
      </c>
    </row>
    <row r="181" spans="1:72" x14ac:dyDescent="0.25">
      <c r="A181" s="211" t="s">
        <v>282</v>
      </c>
      <c r="B181" s="241">
        <v>0</v>
      </c>
      <c r="C181" s="244"/>
      <c r="D181" s="242">
        <f>3.8*250*180</f>
        <v>171000</v>
      </c>
      <c r="E181" s="244"/>
      <c r="F181" s="244"/>
      <c r="G181" s="244"/>
      <c r="H181" s="241">
        <f t="shared" si="344"/>
        <v>171000</v>
      </c>
      <c r="J181" s="241">
        <v>0</v>
      </c>
      <c r="K181" s="244"/>
      <c r="L181" s="242">
        <f>3.8*525*180</f>
        <v>359100</v>
      </c>
      <c r="M181" s="244"/>
      <c r="N181" s="244"/>
      <c r="O181" s="244"/>
      <c r="P181" s="241">
        <f t="shared" si="345"/>
        <v>359100</v>
      </c>
      <c r="R181" s="241">
        <v>0</v>
      </c>
      <c r="S181" s="244"/>
      <c r="T181" s="242">
        <f>(165*3.8*180)</f>
        <v>112860</v>
      </c>
      <c r="U181" s="244"/>
      <c r="V181" s="244"/>
      <c r="W181" s="244"/>
      <c r="X181" s="241">
        <f t="shared" si="346"/>
        <v>112860</v>
      </c>
      <c r="Z181" s="241">
        <v>0</v>
      </c>
      <c r="AA181" s="244"/>
      <c r="AB181" s="242">
        <f>(105*3.8*180)</f>
        <v>71820</v>
      </c>
      <c r="AC181" s="244"/>
      <c r="AD181" s="244"/>
      <c r="AE181" s="244"/>
      <c r="AF181" s="241">
        <f t="shared" si="347"/>
        <v>71820</v>
      </c>
      <c r="AH181" s="241">
        <v>0</v>
      </c>
      <c r="AI181" s="244"/>
      <c r="AJ181" s="242">
        <f>(275*3.8*180)</f>
        <v>188100</v>
      </c>
      <c r="AK181" s="244"/>
      <c r="AL181" s="244"/>
      <c r="AM181" s="244"/>
      <c r="AN181" s="241">
        <f t="shared" si="348"/>
        <v>188100</v>
      </c>
      <c r="AP181" s="241">
        <v>0</v>
      </c>
      <c r="AQ181" s="244"/>
      <c r="AR181" s="242">
        <f>3.7*600*180</f>
        <v>399600</v>
      </c>
      <c r="AS181" s="244"/>
      <c r="AT181" s="244"/>
      <c r="AU181" s="244"/>
      <c r="AV181" s="241">
        <f t="shared" si="349"/>
        <v>399600</v>
      </c>
      <c r="AX181" s="241">
        <v>0</v>
      </c>
      <c r="AY181" s="244"/>
      <c r="AZ181" s="243"/>
      <c r="BA181" s="244"/>
      <c r="BB181" s="244"/>
      <c r="BC181" s="244"/>
      <c r="BD181" s="241">
        <f t="shared" si="350"/>
        <v>0</v>
      </c>
      <c r="BF181" s="241"/>
      <c r="BG181" s="242"/>
      <c r="BH181" s="242"/>
      <c r="BI181" s="242"/>
      <c r="BJ181" s="242"/>
      <c r="BK181" s="242"/>
      <c r="BL181" s="241">
        <f t="shared" si="351"/>
        <v>0</v>
      </c>
      <c r="BN181" s="241">
        <f t="shared" si="352"/>
        <v>0</v>
      </c>
      <c r="BO181" s="241">
        <f t="shared" si="343"/>
        <v>0</v>
      </c>
      <c r="BP181" s="241">
        <f t="shared" si="343"/>
        <v>1302480</v>
      </c>
      <c r="BQ181" s="241">
        <f t="shared" si="343"/>
        <v>0</v>
      </c>
      <c r="BR181" s="241">
        <f t="shared" si="343"/>
        <v>0</v>
      </c>
      <c r="BS181" s="241">
        <f t="shared" si="343"/>
        <v>0</v>
      </c>
      <c r="BT181" s="241">
        <f t="shared" si="353"/>
        <v>1302480</v>
      </c>
    </row>
    <row r="182" spans="1:72" x14ac:dyDescent="0.25">
      <c r="A182" s="211" t="s">
        <v>283</v>
      </c>
      <c r="B182" s="241">
        <f>7500+500+500+500+500</f>
        <v>9500</v>
      </c>
      <c r="C182" s="244"/>
      <c r="D182" s="242"/>
      <c r="E182" s="244"/>
      <c r="F182" s="244"/>
      <c r="G182" s="244"/>
      <c r="H182" s="241">
        <f t="shared" si="344"/>
        <v>9500</v>
      </c>
      <c r="J182" s="241">
        <f>12000+250+150+200</f>
        <v>12600</v>
      </c>
      <c r="K182" s="244"/>
      <c r="L182" s="244"/>
      <c r="M182" s="244"/>
      <c r="N182" s="244"/>
      <c r="O182" s="244"/>
      <c r="P182" s="241">
        <f t="shared" si="345"/>
        <v>12600</v>
      </c>
      <c r="R182" s="241">
        <f>7500+250+200+150+100</f>
        <v>8200</v>
      </c>
      <c r="S182" s="244"/>
      <c r="T182" s="244"/>
      <c r="U182" s="244"/>
      <c r="V182" s="244"/>
      <c r="W182" s="244"/>
      <c r="X182" s="241">
        <f t="shared" si="346"/>
        <v>8200</v>
      </c>
      <c r="Z182" s="241">
        <f>7500+250+250+250+250</f>
        <v>8500</v>
      </c>
      <c r="AA182" s="244"/>
      <c r="AB182" s="244"/>
      <c r="AC182" s="244"/>
      <c r="AD182" s="244"/>
      <c r="AE182" s="244"/>
      <c r="AF182" s="241">
        <f t="shared" si="347"/>
        <v>8500</v>
      </c>
      <c r="AH182" s="241">
        <f>7500+250+250+250+250</f>
        <v>8500</v>
      </c>
      <c r="AI182" s="244"/>
      <c r="AJ182" s="244"/>
      <c r="AK182" s="244"/>
      <c r="AL182" s="244"/>
      <c r="AM182" s="244"/>
      <c r="AN182" s="241">
        <f t="shared" si="348"/>
        <v>8500</v>
      </c>
      <c r="AP182" s="241">
        <f>10000+500+500+500</f>
        <v>11500</v>
      </c>
      <c r="AQ182" s="244"/>
      <c r="AR182" s="244"/>
      <c r="AS182" s="244"/>
      <c r="AT182" s="244"/>
      <c r="AU182" s="244"/>
      <c r="AV182" s="241">
        <f t="shared" si="349"/>
        <v>11500</v>
      </c>
      <c r="AX182" s="241">
        <f>12500+500+500+500+500</f>
        <v>14500</v>
      </c>
      <c r="AY182" s="244"/>
      <c r="AZ182" s="244"/>
      <c r="BA182" s="244"/>
      <c r="BB182" s="244"/>
      <c r="BC182" s="244"/>
      <c r="BD182" s="241">
        <f t="shared" si="350"/>
        <v>14500</v>
      </c>
      <c r="BF182" s="241"/>
      <c r="BG182" s="242"/>
      <c r="BH182" s="242"/>
      <c r="BI182" s="242"/>
      <c r="BJ182" s="242"/>
      <c r="BK182" s="242"/>
      <c r="BL182" s="241">
        <f t="shared" si="351"/>
        <v>0</v>
      </c>
      <c r="BN182" s="241">
        <f t="shared" si="352"/>
        <v>73300</v>
      </c>
      <c r="BO182" s="241">
        <f t="shared" si="343"/>
        <v>0</v>
      </c>
      <c r="BP182" s="241">
        <f t="shared" si="343"/>
        <v>0</v>
      </c>
      <c r="BQ182" s="241">
        <f t="shared" si="343"/>
        <v>0</v>
      </c>
      <c r="BR182" s="241">
        <f t="shared" si="343"/>
        <v>0</v>
      </c>
      <c r="BS182" s="241">
        <f t="shared" si="343"/>
        <v>0</v>
      </c>
      <c r="BT182" s="241">
        <f t="shared" si="353"/>
        <v>73300</v>
      </c>
    </row>
    <row r="183" spans="1:72" x14ac:dyDescent="0.25">
      <c r="A183" s="211" t="s">
        <v>284</v>
      </c>
      <c r="B183" s="241">
        <f>2000+250+250+200+200</f>
        <v>2900</v>
      </c>
      <c r="C183" s="244"/>
      <c r="D183" s="244"/>
      <c r="E183" s="244"/>
      <c r="F183" s="244"/>
      <c r="G183" s="244"/>
      <c r="H183" s="241">
        <f t="shared" si="344"/>
        <v>2900</v>
      </c>
      <c r="J183" s="241">
        <f>2300+100+100+100</f>
        <v>2600</v>
      </c>
      <c r="K183" s="244"/>
      <c r="L183" s="244"/>
      <c r="M183" s="244"/>
      <c r="N183" s="244"/>
      <c r="O183" s="244"/>
      <c r="P183" s="241">
        <f t="shared" si="345"/>
        <v>2600</v>
      </c>
      <c r="R183" s="241">
        <f>2000+250+150+100+75</f>
        <v>2575</v>
      </c>
      <c r="S183" s="244"/>
      <c r="T183" s="244"/>
      <c r="U183" s="244"/>
      <c r="V183" s="244"/>
      <c r="W183" s="244"/>
      <c r="X183" s="241">
        <f t="shared" si="346"/>
        <v>2575</v>
      </c>
      <c r="Z183" s="241">
        <f>2000+100+100+100+75</f>
        <v>2375</v>
      </c>
      <c r="AA183" s="244"/>
      <c r="AB183" s="244"/>
      <c r="AC183" s="244"/>
      <c r="AD183" s="244"/>
      <c r="AE183" s="244"/>
      <c r="AF183" s="241">
        <f t="shared" si="347"/>
        <v>2375</v>
      </c>
      <c r="AH183" s="241">
        <f>2500+150+150+100+100</f>
        <v>3000</v>
      </c>
      <c r="AI183" s="244"/>
      <c r="AJ183" s="244"/>
      <c r="AK183" s="244"/>
      <c r="AL183" s="244"/>
      <c r="AM183" s="244"/>
      <c r="AN183" s="241">
        <f t="shared" si="348"/>
        <v>3000</v>
      </c>
      <c r="AP183" s="241">
        <f>2000+350+250+250</f>
        <v>2850</v>
      </c>
      <c r="AQ183" s="244"/>
      <c r="AR183" s="244"/>
      <c r="AS183" s="244"/>
      <c r="AT183" s="244"/>
      <c r="AU183" s="244"/>
      <c r="AV183" s="241">
        <f t="shared" si="349"/>
        <v>2850</v>
      </c>
      <c r="AX183" s="241">
        <f>750+150+150+200+200</f>
        <v>1450</v>
      </c>
      <c r="AY183" s="244"/>
      <c r="AZ183" s="244"/>
      <c r="BA183" s="244"/>
      <c r="BB183" s="244"/>
      <c r="BC183" s="244"/>
      <c r="BD183" s="241">
        <f t="shared" si="350"/>
        <v>1450</v>
      </c>
      <c r="BF183" s="241">
        <f>8500+500+500+250</f>
        <v>9750</v>
      </c>
      <c r="BG183" s="242"/>
      <c r="BH183" s="242"/>
      <c r="BI183" s="242"/>
      <c r="BJ183" s="242"/>
      <c r="BK183" s="242"/>
      <c r="BL183" s="241">
        <f t="shared" si="351"/>
        <v>9750</v>
      </c>
      <c r="BN183" s="241">
        <f t="shared" si="352"/>
        <v>27500</v>
      </c>
      <c r="BO183" s="241">
        <f t="shared" si="343"/>
        <v>0</v>
      </c>
      <c r="BP183" s="241">
        <f t="shared" si="343"/>
        <v>0</v>
      </c>
      <c r="BQ183" s="241">
        <f t="shared" si="343"/>
        <v>0</v>
      </c>
      <c r="BR183" s="241">
        <f t="shared" si="343"/>
        <v>0</v>
      </c>
      <c r="BS183" s="241">
        <f t="shared" si="343"/>
        <v>0</v>
      </c>
      <c r="BT183" s="241">
        <f t="shared" si="353"/>
        <v>27500</v>
      </c>
    </row>
    <row r="184" spans="1:72" x14ac:dyDescent="0.25">
      <c r="A184" s="211" t="s">
        <v>285</v>
      </c>
      <c r="B184" s="241">
        <f>1000+50+50+50+50</f>
        <v>1200</v>
      </c>
      <c r="C184" s="244"/>
      <c r="D184" s="244"/>
      <c r="E184" s="244"/>
      <c r="F184" s="244"/>
      <c r="G184" s="244"/>
      <c r="H184" s="241">
        <f t="shared" si="344"/>
        <v>1200</v>
      </c>
      <c r="J184" s="241">
        <f>2100+100+100+100</f>
        <v>2400</v>
      </c>
      <c r="K184" s="244"/>
      <c r="L184" s="244"/>
      <c r="M184" s="244"/>
      <c r="N184" s="244"/>
      <c r="O184" s="244"/>
      <c r="P184" s="241">
        <f t="shared" si="345"/>
        <v>2400</v>
      </c>
      <c r="R184" s="241">
        <f>1000+100+50+75+50</f>
        <v>1275</v>
      </c>
      <c r="S184" s="244"/>
      <c r="T184" s="244"/>
      <c r="U184" s="244"/>
      <c r="V184" s="244"/>
      <c r="W184" s="244"/>
      <c r="X184" s="241">
        <f t="shared" si="346"/>
        <v>1275</v>
      </c>
      <c r="Z184" s="241">
        <f>1000+50+50+75+50</f>
        <v>1225</v>
      </c>
      <c r="AA184" s="244"/>
      <c r="AB184" s="244"/>
      <c r="AC184" s="244"/>
      <c r="AD184" s="244"/>
      <c r="AE184" s="244"/>
      <c r="AF184" s="241">
        <f t="shared" si="347"/>
        <v>1225</v>
      </c>
      <c r="AH184" s="241">
        <f>1200+50+75+75+75</f>
        <v>1475</v>
      </c>
      <c r="AI184" s="244"/>
      <c r="AJ184" s="244"/>
      <c r="AK184" s="244"/>
      <c r="AL184" s="244"/>
      <c r="AM184" s="244"/>
      <c r="AN184" s="241">
        <f t="shared" si="348"/>
        <v>1475</v>
      </c>
      <c r="AP184" s="241">
        <f>1200+75+75+75</f>
        <v>1425</v>
      </c>
      <c r="AQ184" s="244"/>
      <c r="AR184" s="244"/>
      <c r="AS184" s="244"/>
      <c r="AT184" s="244"/>
      <c r="AU184" s="244"/>
      <c r="AV184" s="241">
        <f t="shared" si="349"/>
        <v>1425</v>
      </c>
      <c r="AX184" s="241">
        <f>500+50+75+100+100</f>
        <v>825</v>
      </c>
      <c r="AY184" s="244"/>
      <c r="AZ184" s="244"/>
      <c r="BA184" s="244"/>
      <c r="BB184" s="244"/>
      <c r="BC184" s="244"/>
      <c r="BD184" s="241">
        <f t="shared" si="350"/>
        <v>825</v>
      </c>
      <c r="BF184" s="241"/>
      <c r="BG184" s="242"/>
      <c r="BH184" s="242"/>
      <c r="BI184" s="242"/>
      <c r="BJ184" s="242"/>
      <c r="BK184" s="242"/>
      <c r="BL184" s="241">
        <f t="shared" si="351"/>
        <v>0</v>
      </c>
      <c r="BN184" s="241">
        <f t="shared" si="352"/>
        <v>9825</v>
      </c>
      <c r="BO184" s="241">
        <f t="shared" si="343"/>
        <v>0</v>
      </c>
      <c r="BP184" s="241">
        <f t="shared" si="343"/>
        <v>0</v>
      </c>
      <c r="BQ184" s="241">
        <f t="shared" si="343"/>
        <v>0</v>
      </c>
      <c r="BR184" s="241">
        <f t="shared" si="343"/>
        <v>0</v>
      </c>
      <c r="BS184" s="241">
        <f t="shared" si="343"/>
        <v>0</v>
      </c>
      <c r="BT184" s="241">
        <f t="shared" si="353"/>
        <v>9825</v>
      </c>
    </row>
    <row r="185" spans="1:72" x14ac:dyDescent="0.25">
      <c r="A185" s="211" t="s">
        <v>286</v>
      </c>
      <c r="B185" s="244">
        <f>((11*950)+1200+3500+4500)*1.01*1.01*1.01*1.01</f>
        <v>20447.868796499999</v>
      </c>
      <c r="C185" s="244"/>
      <c r="D185" s="244"/>
      <c r="E185" s="244"/>
      <c r="F185" s="244"/>
      <c r="G185" s="244"/>
      <c r="H185" s="241">
        <f t="shared" si="344"/>
        <v>20447.868796499999</v>
      </c>
      <c r="J185" s="244">
        <f>((11*2500)+1200+3500+6500+7500)*1.01*1.01*1.01*1.01</f>
        <v>48075.905262000007</v>
      </c>
      <c r="K185" s="244"/>
      <c r="L185" s="244"/>
      <c r="M185" s="244"/>
      <c r="N185" s="244"/>
      <c r="O185" s="244"/>
      <c r="P185" s="241">
        <f t="shared" si="345"/>
        <v>48075.905262000007</v>
      </c>
      <c r="R185" s="244">
        <f>((11*1050)+1200+3500+4500)*1.01*1.01*1.01*1.01</f>
        <v>21592.533207500001</v>
      </c>
      <c r="S185" s="244"/>
      <c r="T185" s="244"/>
      <c r="U185" s="244"/>
      <c r="V185" s="244"/>
      <c r="W185" s="244"/>
      <c r="X185" s="241">
        <f t="shared" si="346"/>
        <v>21592.533207500001</v>
      </c>
      <c r="Z185" s="244">
        <f>((11*1200)+1200+3500+4500)*1.01*1.01*1.01*1.01</f>
        <v>23309.529824000005</v>
      </c>
      <c r="AA185" s="244"/>
      <c r="AB185" s="244"/>
      <c r="AC185" s="244"/>
      <c r="AD185" s="244"/>
      <c r="AE185" s="244"/>
      <c r="AF185" s="241">
        <f t="shared" si="347"/>
        <v>23309.529824000005</v>
      </c>
      <c r="AH185" s="244">
        <f>((11*2500)+1200+3500+7500+5000)*1.01*1.01*1.01*1.01</f>
        <v>46514.999247</v>
      </c>
      <c r="AI185" s="244"/>
      <c r="AJ185" s="244"/>
      <c r="AK185" s="244"/>
      <c r="AL185" s="244"/>
      <c r="AM185" s="244"/>
      <c r="AN185" s="241">
        <f t="shared" si="348"/>
        <v>46514.999247</v>
      </c>
      <c r="AP185" s="244">
        <f>((11*AP17)+1200+2500+3500+2500)*1.01*1.01</f>
        <v>20218.382000000001</v>
      </c>
      <c r="AQ185" s="244"/>
      <c r="AR185" s="244"/>
      <c r="AS185" s="244"/>
      <c r="AT185" s="244"/>
      <c r="AU185" s="244"/>
      <c r="AV185" s="241">
        <f t="shared" si="349"/>
        <v>20218.382000000001</v>
      </c>
      <c r="AX185" s="244">
        <f>(11*350)+1200+2500</f>
        <v>7550</v>
      </c>
      <c r="AY185" s="244"/>
      <c r="AZ185" s="244"/>
      <c r="BA185" s="244"/>
      <c r="BB185" s="244"/>
      <c r="BC185" s="244"/>
      <c r="BD185" s="241">
        <f t="shared" si="350"/>
        <v>7550</v>
      </c>
      <c r="BF185" s="242">
        <f>1750*12</f>
        <v>21000</v>
      </c>
      <c r="BG185" s="242"/>
      <c r="BH185" s="242"/>
      <c r="BI185" s="242"/>
      <c r="BJ185" s="242"/>
      <c r="BK185" s="242"/>
      <c r="BL185" s="241">
        <f t="shared" si="351"/>
        <v>21000</v>
      </c>
      <c r="BN185" s="241">
        <f t="shared" si="352"/>
        <v>208709.21833700003</v>
      </c>
      <c r="BO185" s="241">
        <f t="shared" si="343"/>
        <v>0</v>
      </c>
      <c r="BP185" s="241">
        <f t="shared" si="343"/>
        <v>0</v>
      </c>
      <c r="BQ185" s="241">
        <f t="shared" si="343"/>
        <v>0</v>
      </c>
      <c r="BR185" s="241">
        <f t="shared" si="343"/>
        <v>0</v>
      </c>
      <c r="BS185" s="241">
        <f t="shared" si="343"/>
        <v>0</v>
      </c>
      <c r="BT185" s="241">
        <f t="shared" si="353"/>
        <v>208709.21833700003</v>
      </c>
    </row>
    <row r="186" spans="1:72" x14ac:dyDescent="0.25">
      <c r="A186" s="211" t="s">
        <v>264</v>
      </c>
      <c r="B186" s="244"/>
      <c r="C186" s="244"/>
      <c r="D186" s="244"/>
      <c r="E186" s="244"/>
      <c r="F186" s="244"/>
      <c r="G186" s="244"/>
      <c r="H186" s="241">
        <f t="shared" si="344"/>
        <v>0</v>
      </c>
      <c r="J186" s="244">
        <f>52500+2500+2500+2500</f>
        <v>60000</v>
      </c>
      <c r="K186" s="244"/>
      <c r="L186" s="244"/>
      <c r="M186" s="244"/>
      <c r="N186" s="244"/>
      <c r="O186" s="244"/>
      <c r="P186" s="241">
        <f t="shared" si="345"/>
        <v>60000</v>
      </c>
      <c r="R186" s="244"/>
      <c r="S186" s="244"/>
      <c r="T186" s="244"/>
      <c r="U186" s="244"/>
      <c r="V186" s="244"/>
      <c r="W186" s="244"/>
      <c r="X186" s="241">
        <f t="shared" si="346"/>
        <v>0</v>
      </c>
      <c r="Z186" s="244"/>
      <c r="AA186" s="244"/>
      <c r="AB186" s="244"/>
      <c r="AC186" s="244"/>
      <c r="AD186" s="244"/>
      <c r="AE186" s="244"/>
      <c r="AF186" s="241">
        <f t="shared" si="347"/>
        <v>0</v>
      </c>
      <c r="AH186" s="244">
        <f>50000+2500+2500+2500</f>
        <v>57500</v>
      </c>
      <c r="AI186" s="244"/>
      <c r="AJ186" s="244"/>
      <c r="AK186" s="244"/>
      <c r="AL186" s="244"/>
      <c r="AM186" s="244"/>
      <c r="AN186" s="241">
        <f t="shared" si="348"/>
        <v>57500</v>
      </c>
      <c r="AP186" s="244"/>
      <c r="AQ186" s="244"/>
      <c r="AR186" s="244"/>
      <c r="AS186" s="244"/>
      <c r="AT186" s="244"/>
      <c r="AU186" s="244"/>
      <c r="AV186" s="241">
        <f t="shared" si="349"/>
        <v>0</v>
      </c>
      <c r="AX186" s="244"/>
      <c r="AY186" s="244"/>
      <c r="AZ186" s="244"/>
      <c r="BA186" s="244"/>
      <c r="BB186" s="244"/>
      <c r="BC186" s="244"/>
      <c r="BD186" s="241">
        <f t="shared" si="350"/>
        <v>0</v>
      </c>
      <c r="BF186" s="242"/>
      <c r="BG186" s="242"/>
      <c r="BH186" s="242"/>
      <c r="BI186" s="242"/>
      <c r="BJ186" s="242"/>
      <c r="BK186" s="242"/>
      <c r="BL186" s="241">
        <f t="shared" si="351"/>
        <v>0</v>
      </c>
      <c r="BN186" s="241">
        <f t="shared" si="352"/>
        <v>117500</v>
      </c>
      <c r="BO186" s="241">
        <f t="shared" si="343"/>
        <v>0</v>
      </c>
      <c r="BP186" s="241">
        <f t="shared" si="343"/>
        <v>0</v>
      </c>
      <c r="BQ186" s="241">
        <f t="shared" si="343"/>
        <v>0</v>
      </c>
      <c r="BR186" s="241">
        <f t="shared" si="343"/>
        <v>0</v>
      </c>
      <c r="BS186" s="241">
        <f t="shared" si="343"/>
        <v>0</v>
      </c>
      <c r="BT186" s="241">
        <f t="shared" si="353"/>
        <v>117500</v>
      </c>
    </row>
    <row r="187" spans="1:72" x14ac:dyDescent="0.25">
      <c r="A187" s="211" t="s">
        <v>287</v>
      </c>
      <c r="B187" s="244"/>
      <c r="C187" s="244"/>
      <c r="D187" s="244"/>
      <c r="E187" s="244"/>
      <c r="F187" s="244"/>
      <c r="G187" s="244"/>
      <c r="H187" s="241">
        <f t="shared" si="344"/>
        <v>0</v>
      </c>
      <c r="J187" s="244">
        <v>0</v>
      </c>
      <c r="K187" s="244"/>
      <c r="L187" s="244"/>
      <c r="M187" s="244"/>
      <c r="N187" s="244"/>
      <c r="O187" s="244"/>
      <c r="P187" s="241">
        <f t="shared" si="345"/>
        <v>0</v>
      </c>
      <c r="R187" s="244"/>
      <c r="S187" s="244"/>
      <c r="T187" s="244"/>
      <c r="U187" s="244"/>
      <c r="V187" s="244"/>
      <c r="W187" s="244"/>
      <c r="X187" s="241">
        <f t="shared" si="346"/>
        <v>0</v>
      </c>
      <c r="Z187" s="244"/>
      <c r="AA187" s="244"/>
      <c r="AB187" s="244"/>
      <c r="AC187" s="244"/>
      <c r="AD187" s="244"/>
      <c r="AE187" s="244"/>
      <c r="AF187" s="241">
        <f t="shared" si="347"/>
        <v>0</v>
      </c>
      <c r="AH187" s="244"/>
      <c r="AI187" s="244"/>
      <c r="AJ187" s="244"/>
      <c r="AK187" s="244"/>
      <c r="AL187" s="244"/>
      <c r="AM187" s="244"/>
      <c r="AN187" s="241">
        <f t="shared" si="348"/>
        <v>0</v>
      </c>
      <c r="AP187" s="243">
        <v>349700</v>
      </c>
      <c r="AQ187" s="244"/>
      <c r="AR187" s="244"/>
      <c r="AS187" s="244"/>
      <c r="AT187" s="244"/>
      <c r="AU187" s="244"/>
      <c r="AV187" s="241">
        <f t="shared" si="349"/>
        <v>349700</v>
      </c>
      <c r="AX187" s="244"/>
      <c r="AY187" s="244"/>
      <c r="AZ187" s="244"/>
      <c r="BA187" s="244"/>
      <c r="BB187" s="244"/>
      <c r="BC187" s="244"/>
      <c r="BD187" s="241">
        <f t="shared" si="350"/>
        <v>0</v>
      </c>
      <c r="BF187" s="242"/>
      <c r="BG187" s="242"/>
      <c r="BH187" s="242"/>
      <c r="BI187" s="242"/>
      <c r="BJ187" s="242"/>
      <c r="BK187" s="242"/>
      <c r="BL187" s="241">
        <f t="shared" si="351"/>
        <v>0</v>
      </c>
      <c r="BN187" s="241">
        <f t="shared" si="352"/>
        <v>349700</v>
      </c>
      <c r="BO187" s="241">
        <f t="shared" si="343"/>
        <v>0</v>
      </c>
      <c r="BP187" s="241">
        <f t="shared" si="343"/>
        <v>0</v>
      </c>
      <c r="BQ187" s="241">
        <f t="shared" si="343"/>
        <v>0</v>
      </c>
      <c r="BR187" s="241">
        <f t="shared" si="343"/>
        <v>0</v>
      </c>
      <c r="BS187" s="241">
        <f t="shared" si="343"/>
        <v>0</v>
      </c>
      <c r="BT187" s="241">
        <f t="shared" si="353"/>
        <v>349700</v>
      </c>
    </row>
    <row r="188" spans="1:72" x14ac:dyDescent="0.25">
      <c r="A188" s="211" t="s">
        <v>288</v>
      </c>
      <c r="B188" s="244">
        <v>0</v>
      </c>
      <c r="C188" s="244"/>
      <c r="D188" s="244"/>
      <c r="E188" s="244"/>
      <c r="F188" s="244"/>
      <c r="G188" s="244"/>
      <c r="H188" s="241">
        <f t="shared" si="344"/>
        <v>0</v>
      </c>
      <c r="J188" s="244">
        <v>0</v>
      </c>
      <c r="K188" s="244"/>
      <c r="L188" s="244"/>
      <c r="M188" s="244"/>
      <c r="N188" s="244"/>
      <c r="O188" s="244"/>
      <c r="P188" s="241">
        <f t="shared" si="345"/>
        <v>0</v>
      </c>
      <c r="R188" s="244">
        <v>0</v>
      </c>
      <c r="S188" s="244"/>
      <c r="T188" s="244"/>
      <c r="U188" s="244"/>
      <c r="V188" s="244"/>
      <c r="W188" s="244"/>
      <c r="X188" s="241">
        <f t="shared" si="346"/>
        <v>0</v>
      </c>
      <c r="Z188" s="244">
        <v>0</v>
      </c>
      <c r="AA188" s="244"/>
      <c r="AB188" s="244"/>
      <c r="AC188" s="244"/>
      <c r="AD188" s="244"/>
      <c r="AE188" s="244"/>
      <c r="AF188" s="241">
        <f t="shared" si="347"/>
        <v>0</v>
      </c>
      <c r="AH188" s="244">
        <v>0</v>
      </c>
      <c r="AI188" s="244"/>
      <c r="AJ188" s="244"/>
      <c r="AK188" s="244"/>
      <c r="AL188" s="244"/>
      <c r="AM188" s="244"/>
      <c r="AN188" s="241">
        <f t="shared" si="348"/>
        <v>0</v>
      </c>
      <c r="AP188" s="244">
        <v>0</v>
      </c>
      <c r="AQ188" s="244"/>
      <c r="AR188" s="244"/>
      <c r="AS188" s="244"/>
      <c r="AT188" s="244"/>
      <c r="AU188" s="244"/>
      <c r="AV188" s="241">
        <f t="shared" si="349"/>
        <v>0</v>
      </c>
      <c r="AX188" s="244">
        <v>0</v>
      </c>
      <c r="AY188" s="244"/>
      <c r="AZ188" s="244"/>
      <c r="BA188" s="244"/>
      <c r="BB188" s="244"/>
      <c r="BC188" s="244"/>
      <c r="BD188" s="241">
        <f t="shared" si="350"/>
        <v>0</v>
      </c>
      <c r="BF188" s="242"/>
      <c r="BG188" s="242"/>
      <c r="BH188" s="242"/>
      <c r="BI188" s="242"/>
      <c r="BJ188" s="242"/>
      <c r="BK188" s="242"/>
      <c r="BL188" s="241">
        <f t="shared" si="351"/>
        <v>0</v>
      </c>
      <c r="BN188" s="241">
        <f t="shared" si="352"/>
        <v>0</v>
      </c>
      <c r="BO188" s="241">
        <f t="shared" si="343"/>
        <v>0</v>
      </c>
      <c r="BP188" s="241">
        <f t="shared" si="343"/>
        <v>0</v>
      </c>
      <c r="BQ188" s="241">
        <f t="shared" si="343"/>
        <v>0</v>
      </c>
      <c r="BR188" s="241">
        <f t="shared" si="343"/>
        <v>0</v>
      </c>
      <c r="BS188" s="241">
        <f t="shared" si="343"/>
        <v>0</v>
      </c>
      <c r="BT188" s="241">
        <f t="shared" si="353"/>
        <v>0</v>
      </c>
    </row>
    <row r="189" spans="1:72" x14ac:dyDescent="0.25">
      <c r="A189" s="211" t="s">
        <v>289</v>
      </c>
      <c r="B189" s="244"/>
      <c r="C189" s="244"/>
      <c r="D189" s="244"/>
      <c r="E189" s="244"/>
      <c r="F189" s="244"/>
      <c r="G189" s="244"/>
      <c r="H189" s="241">
        <f t="shared" si="344"/>
        <v>0</v>
      </c>
      <c r="J189" s="244"/>
      <c r="K189" s="244"/>
      <c r="L189" s="244"/>
      <c r="M189" s="244"/>
      <c r="N189" s="244"/>
      <c r="O189" s="244"/>
      <c r="P189" s="241">
        <f t="shared" si="345"/>
        <v>0</v>
      </c>
      <c r="R189" s="244"/>
      <c r="S189" s="244"/>
      <c r="T189" s="244"/>
      <c r="U189" s="244"/>
      <c r="V189" s="244"/>
      <c r="W189" s="244"/>
      <c r="X189" s="241">
        <f t="shared" si="346"/>
        <v>0</v>
      </c>
      <c r="Z189" s="244"/>
      <c r="AA189" s="244"/>
      <c r="AB189" s="244"/>
      <c r="AC189" s="244"/>
      <c r="AD189" s="244"/>
      <c r="AE189" s="244"/>
      <c r="AF189" s="241">
        <f t="shared" si="347"/>
        <v>0</v>
      </c>
      <c r="AH189" s="244"/>
      <c r="AI189" s="244"/>
      <c r="AJ189" s="244"/>
      <c r="AK189" s="244"/>
      <c r="AL189" s="244"/>
      <c r="AM189" s="244"/>
      <c r="AN189" s="241">
        <f t="shared" si="348"/>
        <v>0</v>
      </c>
      <c r="AP189" s="244"/>
      <c r="AQ189" s="244"/>
      <c r="AR189" s="244"/>
      <c r="AS189" s="244"/>
      <c r="AT189" s="244"/>
      <c r="AU189" s="244"/>
      <c r="AV189" s="241">
        <f t="shared" si="349"/>
        <v>0</v>
      </c>
      <c r="AX189" s="244"/>
      <c r="AY189" s="244"/>
      <c r="AZ189" s="244"/>
      <c r="BA189" s="244"/>
      <c r="BB189" s="244"/>
      <c r="BC189" s="244"/>
      <c r="BD189" s="241">
        <f t="shared" si="350"/>
        <v>0</v>
      </c>
      <c r="BF189" s="242"/>
      <c r="BG189" s="242"/>
      <c r="BH189" s="242"/>
      <c r="BI189" s="242"/>
      <c r="BJ189" s="242"/>
      <c r="BK189" s="242"/>
      <c r="BL189" s="241">
        <f t="shared" si="351"/>
        <v>0</v>
      </c>
      <c r="BN189" s="241">
        <f t="shared" si="352"/>
        <v>0</v>
      </c>
      <c r="BO189" s="241">
        <f t="shared" si="343"/>
        <v>0</v>
      </c>
      <c r="BP189" s="241">
        <f t="shared" si="343"/>
        <v>0</v>
      </c>
      <c r="BQ189" s="241">
        <f t="shared" si="343"/>
        <v>0</v>
      </c>
      <c r="BR189" s="241">
        <f t="shared" si="343"/>
        <v>0</v>
      </c>
      <c r="BS189" s="241">
        <f t="shared" si="343"/>
        <v>0</v>
      </c>
      <c r="BT189" s="241">
        <f t="shared" si="353"/>
        <v>0</v>
      </c>
    </row>
    <row r="190" spans="1:72" x14ac:dyDescent="0.25">
      <c r="A190" s="211" t="s">
        <v>290</v>
      </c>
      <c r="B190" s="244"/>
      <c r="C190" s="244"/>
      <c r="D190" s="244"/>
      <c r="E190" s="244"/>
      <c r="F190" s="244"/>
      <c r="G190" s="244"/>
      <c r="H190" s="241">
        <f t="shared" si="344"/>
        <v>0</v>
      </c>
      <c r="J190" s="244"/>
      <c r="K190" s="244"/>
      <c r="L190" s="244"/>
      <c r="M190" s="244"/>
      <c r="N190" s="244"/>
      <c r="O190" s="244"/>
      <c r="P190" s="241">
        <f t="shared" si="345"/>
        <v>0</v>
      </c>
      <c r="R190" s="244"/>
      <c r="S190" s="244"/>
      <c r="T190" s="244"/>
      <c r="U190" s="244"/>
      <c r="V190" s="244"/>
      <c r="W190" s="244"/>
      <c r="X190" s="241">
        <f t="shared" si="346"/>
        <v>0</v>
      </c>
      <c r="Z190" s="244"/>
      <c r="AA190" s="244"/>
      <c r="AB190" s="244"/>
      <c r="AC190" s="244"/>
      <c r="AD190" s="244"/>
      <c r="AE190" s="244"/>
      <c r="AF190" s="241">
        <f t="shared" si="347"/>
        <v>0</v>
      </c>
      <c r="AH190" s="244"/>
      <c r="AI190" s="244"/>
      <c r="AJ190" s="244"/>
      <c r="AK190" s="244"/>
      <c r="AL190" s="244"/>
      <c r="AM190" s="244"/>
      <c r="AN190" s="241">
        <f t="shared" si="348"/>
        <v>0</v>
      </c>
      <c r="AP190" s="244"/>
      <c r="AQ190" s="244"/>
      <c r="AR190" s="244"/>
      <c r="AS190" s="244"/>
      <c r="AT190" s="244"/>
      <c r="AU190" s="244"/>
      <c r="AV190" s="241">
        <f t="shared" si="349"/>
        <v>0</v>
      </c>
      <c r="AX190" s="244"/>
      <c r="AY190" s="244"/>
      <c r="AZ190" s="244"/>
      <c r="BA190" s="244"/>
      <c r="BB190" s="244"/>
      <c r="BC190" s="244"/>
      <c r="BD190" s="241">
        <f t="shared" si="350"/>
        <v>0</v>
      </c>
      <c r="BF190" s="242"/>
      <c r="BG190" s="242"/>
      <c r="BH190" s="242"/>
      <c r="BI190" s="242"/>
      <c r="BJ190" s="242"/>
      <c r="BK190" s="242"/>
      <c r="BL190" s="241">
        <f t="shared" si="351"/>
        <v>0</v>
      </c>
      <c r="BN190" s="241">
        <f t="shared" si="352"/>
        <v>0</v>
      </c>
      <c r="BO190" s="241">
        <f t="shared" si="352"/>
        <v>0</v>
      </c>
      <c r="BP190" s="241">
        <f t="shared" si="352"/>
        <v>0</v>
      </c>
      <c r="BQ190" s="241">
        <f t="shared" si="352"/>
        <v>0</v>
      </c>
      <c r="BR190" s="241">
        <f t="shared" si="352"/>
        <v>0</v>
      </c>
      <c r="BS190" s="241">
        <f t="shared" si="352"/>
        <v>0</v>
      </c>
      <c r="BT190" s="241">
        <f t="shared" si="353"/>
        <v>0</v>
      </c>
    </row>
    <row r="191" spans="1:72" x14ac:dyDescent="0.25">
      <c r="A191" s="211" t="s">
        <v>291</v>
      </c>
      <c r="B191" s="244"/>
      <c r="C191" s="244"/>
      <c r="D191" s="244"/>
      <c r="E191" s="244"/>
      <c r="F191" s="244"/>
      <c r="G191" s="244">
        <f>G79</f>
        <v>300000</v>
      </c>
      <c r="H191" s="241">
        <f t="shared" si="344"/>
        <v>300000</v>
      </c>
      <c r="J191" s="244"/>
      <c r="K191" s="244"/>
      <c r="L191" s="244"/>
      <c r="M191" s="244"/>
      <c r="N191" s="244"/>
      <c r="O191" s="244">
        <f>O79</f>
        <v>1500000</v>
      </c>
      <c r="P191" s="241">
        <f t="shared" si="345"/>
        <v>1500000</v>
      </c>
      <c r="R191" s="244"/>
      <c r="S191" s="244"/>
      <c r="T191" s="244"/>
      <c r="U191" s="244"/>
      <c r="V191" s="244"/>
      <c r="W191" s="244">
        <f>W79</f>
        <v>850000</v>
      </c>
      <c r="X191" s="241">
        <f t="shared" si="346"/>
        <v>850000</v>
      </c>
      <c r="Z191" s="244"/>
      <c r="AA191" s="244"/>
      <c r="AB191" s="244"/>
      <c r="AC191" s="244"/>
      <c r="AD191" s="244"/>
      <c r="AE191" s="244">
        <f>AE79</f>
        <v>900000</v>
      </c>
      <c r="AF191" s="241">
        <f t="shared" si="347"/>
        <v>900000</v>
      </c>
      <c r="AH191" s="244"/>
      <c r="AI191" s="244"/>
      <c r="AJ191" s="244"/>
      <c r="AK191" s="244"/>
      <c r="AL191" s="244"/>
      <c r="AM191" s="244">
        <f>AM79</f>
        <v>2500000</v>
      </c>
      <c r="AN191" s="241">
        <f t="shared" si="348"/>
        <v>2500000</v>
      </c>
      <c r="AP191" s="244"/>
      <c r="AQ191" s="244"/>
      <c r="AR191" s="244"/>
      <c r="AS191" s="244"/>
      <c r="AT191" s="244"/>
      <c r="AU191" s="244">
        <f>AU79</f>
        <v>100000</v>
      </c>
      <c r="AV191" s="241">
        <f t="shared" si="349"/>
        <v>100000</v>
      </c>
      <c r="AX191" s="244"/>
      <c r="AY191" s="244"/>
      <c r="AZ191" s="244"/>
      <c r="BA191" s="244"/>
      <c r="BB191" s="244"/>
      <c r="BC191" s="244">
        <f>BC79</f>
        <v>25000</v>
      </c>
      <c r="BD191" s="241">
        <f t="shared" si="350"/>
        <v>25000</v>
      </c>
      <c r="BF191" s="242"/>
      <c r="BG191" s="242"/>
      <c r="BH191" s="242"/>
      <c r="BI191" s="242"/>
      <c r="BJ191" s="242"/>
      <c r="BK191" s="242"/>
      <c r="BL191" s="241">
        <f t="shared" si="351"/>
        <v>0</v>
      </c>
      <c r="BN191" s="241">
        <f t="shared" si="352"/>
        <v>0</v>
      </c>
      <c r="BO191" s="241">
        <f t="shared" si="352"/>
        <v>0</v>
      </c>
      <c r="BP191" s="241">
        <f t="shared" si="352"/>
        <v>0</v>
      </c>
      <c r="BQ191" s="241">
        <f t="shared" si="352"/>
        <v>0</v>
      </c>
      <c r="BR191" s="241">
        <f t="shared" si="352"/>
        <v>0</v>
      </c>
      <c r="BS191" s="241">
        <f t="shared" si="352"/>
        <v>6175000</v>
      </c>
      <c r="BT191" s="241">
        <f t="shared" si="353"/>
        <v>6175000</v>
      </c>
    </row>
    <row r="192" spans="1:72" x14ac:dyDescent="0.25">
      <c r="A192" s="211" t="s">
        <v>292</v>
      </c>
      <c r="B192" s="244">
        <v>2500</v>
      </c>
      <c r="C192" s="244"/>
      <c r="D192" s="244"/>
      <c r="E192" s="244"/>
      <c r="F192" s="244"/>
      <c r="G192" s="244"/>
      <c r="H192" s="241">
        <f t="shared" si="344"/>
        <v>2500</v>
      </c>
      <c r="J192" s="244">
        <v>5000</v>
      </c>
      <c r="K192" s="244"/>
      <c r="L192" s="244"/>
      <c r="M192" s="244"/>
      <c r="N192" s="244">
        <v>49770</v>
      </c>
      <c r="O192" s="244"/>
      <c r="P192" s="241">
        <f t="shared" si="345"/>
        <v>54770</v>
      </c>
      <c r="R192" s="244">
        <v>5000</v>
      </c>
      <c r="S192" s="244"/>
      <c r="T192" s="244"/>
      <c r="U192" s="244"/>
      <c r="V192" s="244"/>
      <c r="W192" s="244"/>
      <c r="X192" s="241">
        <f t="shared" si="346"/>
        <v>5000</v>
      </c>
      <c r="Z192" s="244">
        <v>5000</v>
      </c>
      <c r="AA192" s="244"/>
      <c r="AB192" s="244"/>
      <c r="AC192" s="244"/>
      <c r="AD192" s="244"/>
      <c r="AE192" s="244"/>
      <c r="AF192" s="241">
        <f t="shared" si="347"/>
        <v>5000</v>
      </c>
      <c r="AH192" s="244">
        <v>5000</v>
      </c>
      <c r="AI192" s="244"/>
      <c r="AJ192" s="244"/>
      <c r="AK192" s="244"/>
      <c r="AL192" s="244"/>
      <c r="AM192" s="244"/>
      <c r="AN192" s="241">
        <f t="shared" si="348"/>
        <v>5000</v>
      </c>
      <c r="AP192" s="244">
        <v>2500</v>
      </c>
      <c r="AQ192" s="244"/>
      <c r="AR192" s="244"/>
      <c r="AS192" s="244"/>
      <c r="AT192" s="244"/>
      <c r="AU192" s="244"/>
      <c r="AV192" s="241">
        <f t="shared" si="349"/>
        <v>2500</v>
      </c>
      <c r="AX192" s="244">
        <v>1000</v>
      </c>
      <c r="AY192" s="244"/>
      <c r="AZ192" s="244"/>
      <c r="BA192" s="244"/>
      <c r="BB192" s="244"/>
      <c r="BC192" s="244"/>
      <c r="BD192" s="241">
        <f t="shared" si="350"/>
        <v>1000</v>
      </c>
      <c r="BF192" s="242"/>
      <c r="BG192" s="242"/>
      <c r="BH192" s="242"/>
      <c r="BI192" s="242"/>
      <c r="BJ192" s="280">
        <f>145235+192192</f>
        <v>337427</v>
      </c>
      <c r="BK192" s="242"/>
      <c r="BL192" s="241">
        <f t="shared" si="351"/>
        <v>337427</v>
      </c>
      <c r="BN192" s="241">
        <f t="shared" si="352"/>
        <v>26000</v>
      </c>
      <c r="BO192" s="241">
        <f t="shared" si="352"/>
        <v>0</v>
      </c>
      <c r="BP192" s="241">
        <f t="shared" si="352"/>
        <v>0</v>
      </c>
      <c r="BQ192" s="241">
        <f t="shared" si="352"/>
        <v>0</v>
      </c>
      <c r="BR192" s="241">
        <f t="shared" si="352"/>
        <v>387197</v>
      </c>
      <c r="BS192" s="241">
        <f t="shared" si="352"/>
        <v>0</v>
      </c>
      <c r="BT192" s="241">
        <f t="shared" si="353"/>
        <v>413197</v>
      </c>
    </row>
    <row r="193" spans="1:73" x14ac:dyDescent="0.25">
      <c r="A193" s="212" t="s">
        <v>293</v>
      </c>
      <c r="B193" s="245">
        <f>B68*0.0035</f>
        <v>32201.662500000002</v>
      </c>
      <c r="C193" s="245"/>
      <c r="D193" s="245"/>
      <c r="E193" s="245"/>
      <c r="F193" s="245"/>
      <c r="G193" s="245"/>
      <c r="H193" s="241">
        <f>SUM(B193:G193)</f>
        <v>32201.662500000002</v>
      </c>
      <c r="J193" s="245">
        <f>J68*0.02</f>
        <v>499029</v>
      </c>
      <c r="K193" s="245"/>
      <c r="L193" s="245"/>
      <c r="M193" s="245"/>
      <c r="N193" s="245"/>
      <c r="O193" s="245"/>
      <c r="P193" s="241">
        <f>SUM(J193:O193)</f>
        <v>499029</v>
      </c>
      <c r="R193" s="245">
        <f>R68*0.015</f>
        <v>153341.25</v>
      </c>
      <c r="S193" s="245"/>
      <c r="T193" s="245"/>
      <c r="U193" s="245"/>
      <c r="V193" s="245"/>
      <c r="W193" s="245"/>
      <c r="X193" s="241">
        <f>SUM(R193:W193)</f>
        <v>153341.25</v>
      </c>
      <c r="Z193" s="245">
        <f>Z68*0.0225</f>
        <v>267528.375</v>
      </c>
      <c r="AA193" s="245"/>
      <c r="AB193" s="245"/>
      <c r="AC193" s="245"/>
      <c r="AD193" s="245"/>
      <c r="AE193" s="245"/>
      <c r="AF193" s="241">
        <f>SUM(Z193:AE193)</f>
        <v>267528.375</v>
      </c>
      <c r="AH193" s="245">
        <f>AH68*0.0125</f>
        <v>311148.75</v>
      </c>
      <c r="AI193" s="245"/>
      <c r="AJ193" s="245"/>
      <c r="AK193" s="245"/>
      <c r="AL193" s="245"/>
      <c r="AM193" s="245"/>
      <c r="AN193" s="241">
        <f>SUM(AH193:AM193)</f>
        <v>311148.75</v>
      </c>
      <c r="AP193" s="245">
        <v>0</v>
      </c>
      <c r="AQ193" s="245"/>
      <c r="AR193" s="245"/>
      <c r="AS193" s="245"/>
      <c r="AT193" s="245"/>
      <c r="AU193" s="245"/>
      <c r="AV193" s="241">
        <f>SUM(AP193:AU193)</f>
        <v>0</v>
      </c>
      <c r="AX193" s="245">
        <f>AX68*0.027</f>
        <v>48771.45</v>
      </c>
      <c r="AY193" s="245"/>
      <c r="AZ193" s="245"/>
      <c r="BA193" s="245"/>
      <c r="BB193" s="245"/>
      <c r="BC193" s="245"/>
      <c r="BD193" s="241">
        <f>SUM(AX193:BC193)</f>
        <v>48771.45</v>
      </c>
      <c r="BF193" s="282"/>
      <c r="BG193" s="282"/>
      <c r="BH193" s="282"/>
      <c r="BI193" s="282"/>
      <c r="BJ193" s="282"/>
      <c r="BK193" s="282"/>
      <c r="BL193" s="241">
        <f>SUM(BF193:BK193)</f>
        <v>0</v>
      </c>
      <c r="BN193" s="241">
        <f t="shared" si="352"/>
        <v>1312020.4875</v>
      </c>
      <c r="BO193" s="241">
        <f t="shared" si="352"/>
        <v>0</v>
      </c>
      <c r="BP193" s="241">
        <f t="shared" si="352"/>
        <v>0</v>
      </c>
      <c r="BQ193" s="241">
        <f t="shared" si="352"/>
        <v>0</v>
      </c>
      <c r="BR193" s="241">
        <f t="shared" si="352"/>
        <v>0</v>
      </c>
      <c r="BS193" s="241">
        <f t="shared" si="352"/>
        <v>0</v>
      </c>
      <c r="BT193" s="241">
        <f>SUM(BN193:BS193)</f>
        <v>1312020.4875</v>
      </c>
      <c r="BU193" s="285">
        <f>BT193/BT68</f>
        <v>1.424652440995797E-2</v>
      </c>
    </row>
    <row r="194" spans="1:73" x14ac:dyDescent="0.25">
      <c r="A194" s="213"/>
      <c r="B194" s="258">
        <f>SUM(B174:B193)</f>
        <v>274589.36835928803</v>
      </c>
      <c r="C194" s="258">
        <f t="shared" ref="C194:H194" si="354">SUM(C174:C193)</f>
        <v>0</v>
      </c>
      <c r="D194" s="258">
        <f t="shared" si="354"/>
        <v>225000</v>
      </c>
      <c r="E194" s="258">
        <f t="shared" si="354"/>
        <v>0</v>
      </c>
      <c r="F194" s="258">
        <f t="shared" si="354"/>
        <v>0</v>
      </c>
      <c r="G194" s="258">
        <f t="shared" si="354"/>
        <v>300000</v>
      </c>
      <c r="H194" s="258">
        <f t="shared" si="354"/>
        <v>799589.36835928797</v>
      </c>
      <c r="J194" s="258">
        <f>SUM(J174:J193)</f>
        <v>1118617.7916586159</v>
      </c>
      <c r="K194" s="258">
        <f t="shared" ref="K194:P194" si="355">SUM(K174:K193)</f>
        <v>0</v>
      </c>
      <c r="L194" s="258">
        <f t="shared" si="355"/>
        <v>445500</v>
      </c>
      <c r="M194" s="258">
        <f t="shared" si="355"/>
        <v>0</v>
      </c>
      <c r="N194" s="258">
        <f t="shared" si="355"/>
        <v>49770</v>
      </c>
      <c r="O194" s="258">
        <f t="shared" si="355"/>
        <v>1500000</v>
      </c>
      <c r="P194" s="258">
        <f t="shared" si="355"/>
        <v>3113887.7916586162</v>
      </c>
      <c r="R194" s="258">
        <f>SUM(R174:R193)</f>
        <v>416399.06835482002</v>
      </c>
      <c r="S194" s="258">
        <f t="shared" ref="S194:X194" si="356">SUM(S174:S193)</f>
        <v>0</v>
      </c>
      <c r="T194" s="258">
        <f t="shared" si="356"/>
        <v>112860</v>
      </c>
      <c r="U194" s="258">
        <f t="shared" si="356"/>
        <v>0</v>
      </c>
      <c r="V194" s="258">
        <f t="shared" si="356"/>
        <v>0</v>
      </c>
      <c r="W194" s="258">
        <f t="shared" si="356"/>
        <v>850000</v>
      </c>
      <c r="X194" s="258">
        <f t="shared" si="356"/>
        <v>1379259.0683548199</v>
      </c>
      <c r="Z194" s="258">
        <f>SUM(Z174:Z193)</f>
        <v>578570.29284660798</v>
      </c>
      <c r="AA194" s="258">
        <f t="shared" ref="AA194:AF194" si="357">SUM(AA174:AA193)</f>
        <v>0</v>
      </c>
      <c r="AB194" s="258">
        <f t="shared" si="357"/>
        <v>71820</v>
      </c>
      <c r="AC194" s="258">
        <f t="shared" si="357"/>
        <v>0</v>
      </c>
      <c r="AD194" s="258">
        <f t="shared" si="357"/>
        <v>0</v>
      </c>
      <c r="AE194" s="258">
        <f t="shared" si="357"/>
        <v>900000</v>
      </c>
      <c r="AF194" s="258">
        <f t="shared" si="357"/>
        <v>1550390.292846608</v>
      </c>
      <c r="AH194" s="258">
        <f>SUM(AH174:AH193)</f>
        <v>910627.10747736797</v>
      </c>
      <c r="AI194" s="258">
        <f t="shared" ref="AI194:AN194" si="358">SUM(AI174:AI193)</f>
        <v>0</v>
      </c>
      <c r="AJ194" s="258">
        <f t="shared" si="358"/>
        <v>188100</v>
      </c>
      <c r="AK194" s="258">
        <f t="shared" si="358"/>
        <v>0</v>
      </c>
      <c r="AL194" s="258">
        <f t="shared" si="358"/>
        <v>0</v>
      </c>
      <c r="AM194" s="258">
        <f t="shared" si="358"/>
        <v>2500000</v>
      </c>
      <c r="AN194" s="258">
        <f t="shared" si="358"/>
        <v>3598727.1074773679</v>
      </c>
      <c r="AP194" s="258">
        <f>SUM(AP174:AP193)</f>
        <v>556460.29147231998</v>
      </c>
      <c r="AQ194" s="258">
        <f t="shared" ref="AQ194:AV194" si="359">SUM(AQ174:AQ193)</f>
        <v>0</v>
      </c>
      <c r="AR194" s="258">
        <f t="shared" si="359"/>
        <v>503100</v>
      </c>
      <c r="AS194" s="258">
        <f t="shared" si="359"/>
        <v>0</v>
      </c>
      <c r="AT194" s="258">
        <f t="shared" si="359"/>
        <v>0</v>
      </c>
      <c r="AU194" s="258">
        <f t="shared" si="359"/>
        <v>100000</v>
      </c>
      <c r="AV194" s="258">
        <f t="shared" si="359"/>
        <v>1159560.29147232</v>
      </c>
      <c r="AX194" s="258">
        <f>SUM(AX174:AX193)</f>
        <v>113370.333275706</v>
      </c>
      <c r="AY194" s="258">
        <f t="shared" ref="AY194:BD194" si="360">SUM(AY174:AY193)</f>
        <v>0</v>
      </c>
      <c r="AZ194" s="258">
        <f t="shared" si="360"/>
        <v>0</v>
      </c>
      <c r="BA194" s="258">
        <f t="shared" si="360"/>
        <v>0</v>
      </c>
      <c r="BB194" s="258">
        <f t="shared" si="360"/>
        <v>0</v>
      </c>
      <c r="BC194" s="258">
        <f t="shared" si="360"/>
        <v>25000</v>
      </c>
      <c r="BD194" s="258">
        <f t="shared" si="360"/>
        <v>138370.33327570598</v>
      </c>
      <c r="BF194" s="258">
        <f>SUM(BF174:BF193)</f>
        <v>30750</v>
      </c>
      <c r="BG194" s="258">
        <f t="shared" ref="BG194:BL194" si="361">SUM(BG174:BG193)</f>
        <v>0</v>
      </c>
      <c r="BH194" s="258">
        <f t="shared" si="361"/>
        <v>0</v>
      </c>
      <c r="BI194" s="258">
        <f t="shared" si="361"/>
        <v>0</v>
      </c>
      <c r="BJ194" s="258">
        <f t="shared" si="361"/>
        <v>337427</v>
      </c>
      <c r="BK194" s="258">
        <f t="shared" si="361"/>
        <v>0</v>
      </c>
      <c r="BL194" s="258">
        <f t="shared" si="361"/>
        <v>368177</v>
      </c>
      <c r="BN194" s="258">
        <f>SUM(BN174:BN193)</f>
        <v>3999384.2534447266</v>
      </c>
      <c r="BO194" s="258">
        <f t="shared" ref="BO194:BT194" si="362">SUM(BO174:BO193)</f>
        <v>0</v>
      </c>
      <c r="BP194" s="258">
        <f t="shared" si="362"/>
        <v>1546380</v>
      </c>
      <c r="BQ194" s="258">
        <f t="shared" si="362"/>
        <v>0</v>
      </c>
      <c r="BR194" s="258">
        <f t="shared" si="362"/>
        <v>387197</v>
      </c>
      <c r="BS194" s="258">
        <f t="shared" si="362"/>
        <v>6175000</v>
      </c>
      <c r="BT194" s="258">
        <f t="shared" si="362"/>
        <v>12107961.253444728</v>
      </c>
    </row>
    <row r="195" spans="1:73" x14ac:dyDescent="0.25">
      <c r="B195" s="259"/>
      <c r="C195" s="259"/>
      <c r="D195" s="259"/>
      <c r="E195" s="259"/>
      <c r="F195" s="259"/>
      <c r="G195" s="259"/>
      <c r="H195" s="259"/>
      <c r="J195" s="259"/>
      <c r="K195" s="259"/>
      <c r="L195" s="259"/>
      <c r="M195" s="259"/>
      <c r="N195" s="259"/>
      <c r="O195" s="259"/>
      <c r="P195" s="259"/>
      <c r="R195" s="259"/>
      <c r="S195" s="259"/>
      <c r="T195" s="259"/>
      <c r="U195" s="259"/>
      <c r="V195" s="259"/>
      <c r="W195" s="259"/>
      <c r="X195" s="259"/>
      <c r="Z195" s="259"/>
      <c r="AA195" s="259"/>
      <c r="AB195" s="259"/>
      <c r="AC195" s="259"/>
      <c r="AD195" s="259"/>
      <c r="AE195" s="259"/>
      <c r="AF195" s="259"/>
      <c r="AH195" s="259"/>
      <c r="AI195" s="259"/>
      <c r="AJ195" s="259"/>
      <c r="AK195" s="259"/>
      <c r="AL195" s="259"/>
      <c r="AM195" s="259"/>
      <c r="AN195" s="259"/>
      <c r="AP195" s="259"/>
      <c r="AQ195" s="259"/>
      <c r="AR195" s="259"/>
      <c r="AS195" s="259"/>
      <c r="AT195" s="259"/>
      <c r="AU195" s="259"/>
      <c r="AV195" s="259"/>
      <c r="AX195" s="259"/>
      <c r="AY195" s="259"/>
      <c r="AZ195" s="259"/>
      <c r="BA195" s="259"/>
      <c r="BB195" s="259"/>
      <c r="BC195" s="259"/>
      <c r="BD195" s="259"/>
      <c r="BF195" s="259"/>
      <c r="BG195" s="259"/>
      <c r="BH195" s="259"/>
      <c r="BI195" s="259"/>
      <c r="BJ195" s="259"/>
      <c r="BK195" s="259"/>
      <c r="BL195" s="259"/>
      <c r="BN195" s="259"/>
      <c r="BO195" s="259"/>
      <c r="BP195" s="259"/>
      <c r="BQ195" s="259"/>
      <c r="BR195" s="259"/>
      <c r="BS195" s="259"/>
      <c r="BT195" s="259"/>
    </row>
    <row r="196" spans="1:73" x14ac:dyDescent="0.25">
      <c r="A196" s="208" t="s">
        <v>337</v>
      </c>
      <c r="B196" s="260" t="s">
        <v>309</v>
      </c>
      <c r="C196" s="260" t="s">
        <v>310</v>
      </c>
      <c r="D196" s="260" t="s">
        <v>311</v>
      </c>
      <c r="E196" s="260" t="str">
        <f>E173</f>
        <v>Other</v>
      </c>
      <c r="F196" s="260" t="s">
        <v>315</v>
      </c>
      <c r="G196" s="260" t="s">
        <v>314</v>
      </c>
      <c r="H196" s="260" t="str">
        <f>H173</f>
        <v>Horizon</v>
      </c>
      <c r="J196" s="260" t="s">
        <v>309</v>
      </c>
      <c r="K196" s="260" t="s">
        <v>310</v>
      </c>
      <c r="L196" s="260" t="s">
        <v>311</v>
      </c>
      <c r="M196" s="260" t="str">
        <f>M173</f>
        <v>Other</v>
      </c>
      <c r="N196" s="260" t="s">
        <v>315</v>
      </c>
      <c r="O196" s="260" t="s">
        <v>314</v>
      </c>
      <c r="P196" s="260" t="str">
        <f>P173</f>
        <v>Cadence</v>
      </c>
      <c r="R196" s="260" t="s">
        <v>309</v>
      </c>
      <c r="S196" s="260" t="s">
        <v>310</v>
      </c>
      <c r="T196" s="260" t="s">
        <v>311</v>
      </c>
      <c r="U196" s="260" t="str">
        <f>U173</f>
        <v>Other</v>
      </c>
      <c r="V196" s="260" t="s">
        <v>315</v>
      </c>
      <c r="W196" s="260" t="s">
        <v>314</v>
      </c>
      <c r="X196" s="260" t="str">
        <f>X173</f>
        <v>St. Rose</v>
      </c>
      <c r="Z196" s="260" t="s">
        <v>309</v>
      </c>
      <c r="AA196" s="260" t="s">
        <v>310</v>
      </c>
      <c r="AB196" s="260" t="s">
        <v>311</v>
      </c>
      <c r="AC196" s="260" t="str">
        <f>AC173</f>
        <v>Other</v>
      </c>
      <c r="AD196" s="260" t="s">
        <v>315</v>
      </c>
      <c r="AE196" s="260" t="s">
        <v>314</v>
      </c>
      <c r="AF196" s="260" t="str">
        <f>AF173</f>
        <v>Inspirada</v>
      </c>
      <c r="AH196" s="260" t="s">
        <v>309</v>
      </c>
      <c r="AI196" s="260" t="s">
        <v>310</v>
      </c>
      <c r="AJ196" s="260" t="s">
        <v>311</v>
      </c>
      <c r="AK196" s="260" t="str">
        <f>AK173</f>
        <v>Other</v>
      </c>
      <c r="AL196" s="260" t="s">
        <v>315</v>
      </c>
      <c r="AM196" s="260" t="s">
        <v>314</v>
      </c>
      <c r="AN196" s="260" t="str">
        <f>AN173</f>
        <v>Sloan</v>
      </c>
      <c r="AP196" s="260" t="s">
        <v>309</v>
      </c>
      <c r="AQ196" s="260" t="s">
        <v>310</v>
      </c>
      <c r="AR196" s="260" t="s">
        <v>311</v>
      </c>
      <c r="AS196" s="260" t="str">
        <f>AS173</f>
        <v>Other</v>
      </c>
      <c r="AT196" s="260" t="s">
        <v>315</v>
      </c>
      <c r="AU196" s="260" t="s">
        <v>314</v>
      </c>
      <c r="AV196" s="260" t="str">
        <f>AV173</f>
        <v>Springs</v>
      </c>
      <c r="AX196" s="260" t="s">
        <v>309</v>
      </c>
      <c r="AY196" s="260" t="s">
        <v>310</v>
      </c>
      <c r="AZ196" s="260" t="s">
        <v>311</v>
      </c>
      <c r="BA196" s="260" t="str">
        <f>BA173</f>
        <v>Other</v>
      </c>
      <c r="BB196" s="260" t="s">
        <v>315</v>
      </c>
      <c r="BC196" s="260" t="s">
        <v>314</v>
      </c>
      <c r="BD196" s="260" t="str">
        <f>BD173</f>
        <v>Virtual</v>
      </c>
      <c r="BF196" s="260" t="s">
        <v>309</v>
      </c>
      <c r="BG196" s="260" t="s">
        <v>310</v>
      </c>
      <c r="BH196" s="260" t="s">
        <v>311</v>
      </c>
      <c r="BI196" s="260" t="str">
        <f>BI173</f>
        <v>Other</v>
      </c>
      <c r="BJ196" s="260" t="s">
        <v>315</v>
      </c>
      <c r="BK196" s="260" t="s">
        <v>314</v>
      </c>
      <c r="BL196" s="260" t="str">
        <f>BL173</f>
        <v>Central</v>
      </c>
      <c r="BN196" s="260" t="s">
        <v>309</v>
      </c>
      <c r="BO196" s="260" t="s">
        <v>310</v>
      </c>
      <c r="BP196" s="260" t="s">
        <v>311</v>
      </c>
      <c r="BQ196" s="260" t="str">
        <f>BQ173</f>
        <v>Other</v>
      </c>
      <c r="BR196" s="260" t="s">
        <v>315</v>
      </c>
      <c r="BS196" s="260" t="s">
        <v>314</v>
      </c>
      <c r="BT196" s="260" t="str">
        <f>BT173</f>
        <v>System</v>
      </c>
    </row>
    <row r="197" spans="1:73" x14ac:dyDescent="0.25">
      <c r="A197" s="214" t="s">
        <v>294</v>
      </c>
      <c r="B197" s="241">
        <f>115000*1.02*1.02*1.02*1.02</f>
        <v>124479.69839999999</v>
      </c>
      <c r="C197" s="257"/>
      <c r="D197" s="257"/>
      <c r="E197" s="257"/>
      <c r="F197" s="257"/>
      <c r="G197" s="257"/>
      <c r="H197" s="241">
        <f>SUM(B197:G197)</f>
        <v>124479.69839999999</v>
      </c>
      <c r="J197" s="241">
        <f>275000*1.02*1.02*1.02*1.02</f>
        <v>297668.84400000004</v>
      </c>
      <c r="K197" s="257"/>
      <c r="L197" s="257"/>
      <c r="M197" s="257"/>
      <c r="N197" s="257"/>
      <c r="O197" s="257"/>
      <c r="P197" s="241">
        <f>SUM(J197:O197)</f>
        <v>297668.84400000004</v>
      </c>
      <c r="R197" s="241">
        <f>95000*1.02*1.02*1.02*1.02</f>
        <v>102831.0552</v>
      </c>
      <c r="S197" s="257"/>
      <c r="T197" s="257"/>
      <c r="U197" s="257"/>
      <c r="V197" s="257"/>
      <c r="W197" s="257"/>
      <c r="X197" s="241">
        <f>SUM(R197:W197)</f>
        <v>102831.0552</v>
      </c>
      <c r="Z197" s="241">
        <f>120000*1.02*1.02*1.02*1.02</f>
        <v>129891.85920000001</v>
      </c>
      <c r="AA197" s="257"/>
      <c r="AB197" s="257"/>
      <c r="AC197" s="257"/>
      <c r="AD197" s="257"/>
      <c r="AE197" s="257"/>
      <c r="AF197" s="241">
        <f>SUM(Z197:AE197)</f>
        <v>129891.85920000001</v>
      </c>
      <c r="AH197" s="241">
        <f>275000*1.02*1.02*1.02*1.02</f>
        <v>297668.84400000004</v>
      </c>
      <c r="AI197" s="257"/>
      <c r="AJ197" s="257"/>
      <c r="AK197" s="257"/>
      <c r="AL197" s="257"/>
      <c r="AM197" s="257"/>
      <c r="AN197" s="241">
        <f>SUM(AH197:AM197)</f>
        <v>297668.84400000004</v>
      </c>
      <c r="AP197" s="241">
        <f>90000*1.03*1.02*1.02</f>
        <v>96445.08</v>
      </c>
      <c r="AQ197" s="257"/>
      <c r="AR197" s="257"/>
      <c r="AS197" s="257"/>
      <c r="AT197" s="257"/>
      <c r="AU197" s="257"/>
      <c r="AV197" s="241">
        <f>SUM(AP197:AU197)</f>
        <v>96445.08</v>
      </c>
      <c r="AX197" s="241"/>
      <c r="AY197" s="257"/>
      <c r="AZ197" s="257"/>
      <c r="BA197" s="257"/>
      <c r="BB197" s="257"/>
      <c r="BC197" s="257"/>
      <c r="BD197" s="241">
        <f>SUM(AX197:BC197)</f>
        <v>0</v>
      </c>
      <c r="BF197" s="241"/>
      <c r="BG197" s="257"/>
      <c r="BH197" s="257"/>
      <c r="BI197" s="257"/>
      <c r="BJ197" s="257"/>
      <c r="BK197" s="257"/>
      <c r="BL197" s="241">
        <f>SUM(BF197:BK197)</f>
        <v>0</v>
      </c>
      <c r="BN197" s="241">
        <f>B197+J197+R197+Z197+AH197+AP197+AX197+BF197</f>
        <v>1048985.3808000002</v>
      </c>
      <c r="BO197" s="241">
        <f t="shared" ref="BO197:BS206" si="363">C197+K197+S197+AA197+AI197+AQ197+AY197+BG197</f>
        <v>0</v>
      </c>
      <c r="BP197" s="241">
        <f t="shared" si="363"/>
        <v>0</v>
      </c>
      <c r="BQ197" s="241">
        <f t="shared" si="363"/>
        <v>0</v>
      </c>
      <c r="BR197" s="241">
        <f t="shared" si="363"/>
        <v>0</v>
      </c>
      <c r="BS197" s="241">
        <f t="shared" si="363"/>
        <v>0</v>
      </c>
      <c r="BT197" s="241">
        <f>SUM(BN197:BS197)</f>
        <v>1048985.3808000002</v>
      </c>
    </row>
    <row r="198" spans="1:73" x14ac:dyDescent="0.25">
      <c r="A198" s="211" t="s">
        <v>295</v>
      </c>
      <c r="B198" s="241">
        <f>8000*1.02*1.02*1.02*1.02</f>
        <v>8659.4572800000005</v>
      </c>
      <c r="C198" s="244"/>
      <c r="D198" s="244"/>
      <c r="E198" s="244"/>
      <c r="F198" s="244"/>
      <c r="G198" s="244"/>
      <c r="H198" s="241">
        <f t="shared" ref="H198:H206" si="364">SUM(B198:G198)</f>
        <v>8659.4572800000005</v>
      </c>
      <c r="J198" s="241">
        <v>0</v>
      </c>
      <c r="K198" s="244"/>
      <c r="L198" s="244"/>
      <c r="M198" s="244"/>
      <c r="N198" s="244"/>
      <c r="O198" s="244"/>
      <c r="P198" s="241">
        <f t="shared" ref="P198:P206" si="365">SUM(J198:O198)</f>
        <v>0</v>
      </c>
      <c r="R198" s="241">
        <v>0</v>
      </c>
      <c r="S198" s="244"/>
      <c r="T198" s="244"/>
      <c r="U198" s="244"/>
      <c r="V198" s="244"/>
      <c r="W198" s="244"/>
      <c r="X198" s="241">
        <f t="shared" ref="X198:X206" si="366">SUM(R198:W198)</f>
        <v>0</v>
      </c>
      <c r="Z198" s="241">
        <v>0</v>
      </c>
      <c r="AA198" s="244"/>
      <c r="AB198" s="244"/>
      <c r="AC198" s="244"/>
      <c r="AD198" s="244"/>
      <c r="AE198" s="244"/>
      <c r="AF198" s="241">
        <f t="shared" ref="AF198:AF206" si="367">SUM(Z198:AE198)</f>
        <v>0</v>
      </c>
      <c r="AH198" s="241">
        <v>0</v>
      </c>
      <c r="AI198" s="244"/>
      <c r="AJ198" s="244"/>
      <c r="AK198" s="244"/>
      <c r="AL198" s="244"/>
      <c r="AM198" s="244"/>
      <c r="AN198" s="241">
        <f t="shared" ref="AN198:AN206" si="368">SUM(AH198:AM198)</f>
        <v>0</v>
      </c>
      <c r="AP198" s="241">
        <v>0</v>
      </c>
      <c r="AQ198" s="244"/>
      <c r="AR198" s="244"/>
      <c r="AS198" s="244"/>
      <c r="AT198" s="244"/>
      <c r="AU198" s="244"/>
      <c r="AV198" s="241">
        <f t="shared" ref="AV198:AV206" si="369">SUM(AP198:AU198)</f>
        <v>0</v>
      </c>
      <c r="AX198" s="241"/>
      <c r="AY198" s="244"/>
      <c r="AZ198" s="244"/>
      <c r="BA198" s="244"/>
      <c r="BB198" s="244"/>
      <c r="BC198" s="244"/>
      <c r="BD198" s="241">
        <f t="shared" ref="BD198:BD206" si="370">SUM(AX198:BC198)</f>
        <v>0</v>
      </c>
      <c r="BF198" s="241"/>
      <c r="BG198" s="244"/>
      <c r="BH198" s="244"/>
      <c r="BI198" s="244"/>
      <c r="BJ198" s="244"/>
      <c r="BK198" s="244"/>
      <c r="BL198" s="241">
        <f t="shared" ref="BL198:BL206" si="371">SUM(BF198:BK198)</f>
        <v>0</v>
      </c>
      <c r="BN198" s="241">
        <f t="shared" ref="BN198:BN206" si="372">B198+J198+R198+Z198+AH198+AP198+AX198+BF198</f>
        <v>8659.4572800000005</v>
      </c>
      <c r="BO198" s="241">
        <f t="shared" si="363"/>
        <v>0</v>
      </c>
      <c r="BP198" s="241">
        <f t="shared" si="363"/>
        <v>0</v>
      </c>
      <c r="BQ198" s="241">
        <f t="shared" si="363"/>
        <v>0</v>
      </c>
      <c r="BR198" s="241">
        <f t="shared" si="363"/>
        <v>0</v>
      </c>
      <c r="BS198" s="241">
        <f t="shared" si="363"/>
        <v>0</v>
      </c>
      <c r="BT198" s="241">
        <f t="shared" ref="BT198:BT206" si="373">SUM(BN198:BS198)</f>
        <v>8659.4572800000005</v>
      </c>
    </row>
    <row r="199" spans="1:73" x14ac:dyDescent="0.25">
      <c r="A199" s="211" t="s">
        <v>296</v>
      </c>
      <c r="B199" s="241">
        <f>32500*1.02*1.02*1.02*1.02</f>
        <v>35179.0452</v>
      </c>
      <c r="C199" s="244"/>
      <c r="D199" s="244"/>
      <c r="E199" s="244"/>
      <c r="F199" s="244"/>
      <c r="G199" s="244"/>
      <c r="H199" s="241">
        <f t="shared" si="364"/>
        <v>35179.0452</v>
      </c>
      <c r="J199" s="241">
        <f>50000*1.02*1.01*1.015*1.02</f>
        <v>53328.302999999993</v>
      </c>
      <c r="K199" s="244"/>
      <c r="L199" s="244"/>
      <c r="M199" s="244"/>
      <c r="N199" s="244"/>
      <c r="O199" s="244"/>
      <c r="P199" s="241">
        <f t="shared" si="365"/>
        <v>53328.302999999993</v>
      </c>
      <c r="R199" s="241">
        <f>((8400*4)+(1500*8))*1.02*1.02*1.02*1.02</f>
        <v>49358.906495999996</v>
      </c>
      <c r="S199" s="244"/>
      <c r="T199" s="244"/>
      <c r="U199" s="244"/>
      <c r="V199" s="244"/>
      <c r="W199" s="244"/>
      <c r="X199" s="241">
        <f t="shared" si="366"/>
        <v>49358.906495999996</v>
      </c>
      <c r="Z199" s="241">
        <f>20000*1.02*1.01*1.02*1.02</f>
        <v>21436.401600000001</v>
      </c>
      <c r="AA199" s="244"/>
      <c r="AB199" s="244"/>
      <c r="AC199" s="244"/>
      <c r="AD199" s="244"/>
      <c r="AE199" s="244"/>
      <c r="AF199" s="241">
        <f t="shared" si="367"/>
        <v>21436.401600000001</v>
      </c>
      <c r="AH199" s="241">
        <f>40000*1.02*1.02*1.02*1.02</f>
        <v>43297.286399999997</v>
      </c>
      <c r="AI199" s="244"/>
      <c r="AJ199" s="244"/>
      <c r="AK199" s="244"/>
      <c r="AL199" s="244"/>
      <c r="AM199" s="244"/>
      <c r="AN199" s="241">
        <f t="shared" si="368"/>
        <v>43297.286399999997</v>
      </c>
      <c r="AP199" s="241">
        <f>26000*1.03*1.02*1.02</f>
        <v>27861.912000000004</v>
      </c>
      <c r="AQ199" s="244"/>
      <c r="AR199" s="244"/>
      <c r="AS199" s="244"/>
      <c r="AT199" s="244"/>
      <c r="AU199" s="244"/>
      <c r="AV199" s="241">
        <f t="shared" si="369"/>
        <v>27861.912000000004</v>
      </c>
      <c r="AX199" s="241"/>
      <c r="AY199" s="244"/>
      <c r="AZ199" s="244"/>
      <c r="BA199" s="244"/>
      <c r="BB199" s="244"/>
      <c r="BC199" s="244"/>
      <c r="BD199" s="241">
        <f t="shared" si="370"/>
        <v>0</v>
      </c>
      <c r="BF199" s="241"/>
      <c r="BG199" s="244"/>
      <c r="BH199" s="244"/>
      <c r="BI199" s="244"/>
      <c r="BJ199" s="244"/>
      <c r="BK199" s="244"/>
      <c r="BL199" s="241">
        <f t="shared" si="371"/>
        <v>0</v>
      </c>
      <c r="BN199" s="241">
        <f t="shared" si="372"/>
        <v>230461.85469599999</v>
      </c>
      <c r="BO199" s="241">
        <f t="shared" si="363"/>
        <v>0</v>
      </c>
      <c r="BP199" s="241">
        <f t="shared" si="363"/>
        <v>0</v>
      </c>
      <c r="BQ199" s="241">
        <f t="shared" si="363"/>
        <v>0</v>
      </c>
      <c r="BR199" s="241">
        <f t="shared" si="363"/>
        <v>0</v>
      </c>
      <c r="BS199" s="241">
        <f t="shared" si="363"/>
        <v>0</v>
      </c>
      <c r="BT199" s="241">
        <f t="shared" si="373"/>
        <v>230461.85469599999</v>
      </c>
    </row>
    <row r="200" spans="1:73" x14ac:dyDescent="0.25">
      <c r="A200" s="211" t="s">
        <v>297</v>
      </c>
      <c r="B200" s="241">
        <f>24000*1.02*1.02*1.02*1.02</f>
        <v>25978.371840000003</v>
      </c>
      <c r="C200" s="244"/>
      <c r="D200" s="244"/>
      <c r="E200" s="244"/>
      <c r="F200" s="244"/>
      <c r="G200" s="244"/>
      <c r="H200" s="241">
        <f t="shared" si="364"/>
        <v>25978.371840000003</v>
      </c>
      <c r="J200" s="241">
        <f>65000*1.02*1.02*1.02*1.02</f>
        <v>70358.090400000001</v>
      </c>
      <c r="K200" s="244"/>
      <c r="L200" s="244"/>
      <c r="M200" s="244"/>
      <c r="N200" s="244"/>
      <c r="O200" s="244"/>
      <c r="P200" s="241">
        <f t="shared" si="365"/>
        <v>70358.090400000001</v>
      </c>
      <c r="R200" s="241">
        <f>19000*1.02*1.02*1.02*1.02</f>
        <v>20566.211039999998</v>
      </c>
      <c r="S200" s="244"/>
      <c r="T200" s="244"/>
      <c r="U200" s="244"/>
      <c r="V200" s="244"/>
      <c r="W200" s="244"/>
      <c r="X200" s="241">
        <f t="shared" si="366"/>
        <v>20566.211039999998</v>
      </c>
      <c r="Z200" s="241">
        <f>33000*1.02*1.01*1.02*1.02</f>
        <v>35370.062639999996</v>
      </c>
      <c r="AA200" s="244"/>
      <c r="AB200" s="244"/>
      <c r="AC200" s="244"/>
      <c r="AD200" s="244"/>
      <c r="AE200" s="244"/>
      <c r="AF200" s="241">
        <f t="shared" si="367"/>
        <v>35370.062639999996</v>
      </c>
      <c r="AH200" s="241">
        <f>62500*1.02*1.02*1.02*1.02</f>
        <v>67652.009999999995</v>
      </c>
      <c r="AI200" s="244"/>
      <c r="AJ200" s="244"/>
      <c r="AK200" s="244"/>
      <c r="AL200" s="244"/>
      <c r="AM200" s="244"/>
      <c r="AN200" s="241">
        <f t="shared" si="368"/>
        <v>67652.009999999995</v>
      </c>
      <c r="AP200" s="241">
        <f>22500*1.03*1.02*1.02</f>
        <v>24111.27</v>
      </c>
      <c r="AQ200" s="244"/>
      <c r="AR200" s="244"/>
      <c r="AS200" s="244"/>
      <c r="AT200" s="244"/>
      <c r="AU200" s="244"/>
      <c r="AV200" s="241">
        <f t="shared" si="369"/>
        <v>24111.27</v>
      </c>
      <c r="AX200" s="241"/>
      <c r="AY200" s="244"/>
      <c r="AZ200" s="244"/>
      <c r="BA200" s="244"/>
      <c r="BB200" s="244"/>
      <c r="BC200" s="244"/>
      <c r="BD200" s="241">
        <f t="shared" si="370"/>
        <v>0</v>
      </c>
      <c r="BF200" s="241"/>
      <c r="BG200" s="244"/>
      <c r="BH200" s="244"/>
      <c r="BI200" s="244"/>
      <c r="BJ200" s="244"/>
      <c r="BK200" s="244"/>
      <c r="BL200" s="241">
        <f t="shared" si="371"/>
        <v>0</v>
      </c>
      <c r="BN200" s="241">
        <f t="shared" si="372"/>
        <v>244036.01592000001</v>
      </c>
      <c r="BO200" s="241">
        <f t="shared" si="363"/>
        <v>0</v>
      </c>
      <c r="BP200" s="241">
        <f t="shared" si="363"/>
        <v>0</v>
      </c>
      <c r="BQ200" s="241">
        <f t="shared" si="363"/>
        <v>0</v>
      </c>
      <c r="BR200" s="241">
        <f t="shared" si="363"/>
        <v>0</v>
      </c>
      <c r="BS200" s="241">
        <f t="shared" si="363"/>
        <v>0</v>
      </c>
      <c r="BT200" s="241">
        <f t="shared" si="373"/>
        <v>244036.01592000001</v>
      </c>
    </row>
    <row r="201" spans="1:73" x14ac:dyDescent="0.25">
      <c r="A201" s="211" t="s">
        <v>298</v>
      </c>
      <c r="B201" s="241">
        <f>12500*1.02*1.02*1.02*1.02</f>
        <v>13530.402</v>
      </c>
      <c r="C201" s="244"/>
      <c r="D201" s="244"/>
      <c r="E201" s="244"/>
      <c r="F201" s="244"/>
      <c r="G201" s="244"/>
      <c r="H201" s="241">
        <f t="shared" si="364"/>
        <v>13530.402</v>
      </c>
      <c r="J201" s="241">
        <f>33000*1.02*1.01*1.015*1.02</f>
        <v>35196.679979999994</v>
      </c>
      <c r="K201" s="244"/>
      <c r="L201" s="244"/>
      <c r="M201" s="244"/>
      <c r="N201" s="244"/>
      <c r="O201" s="244"/>
      <c r="P201" s="241">
        <f t="shared" si="365"/>
        <v>35196.679979999994</v>
      </c>
      <c r="R201" s="241">
        <f>8500*1.02*1.02*1.02*1.02</f>
        <v>9200.6733600000007</v>
      </c>
      <c r="S201" s="244"/>
      <c r="T201" s="244"/>
      <c r="U201" s="244"/>
      <c r="V201" s="244"/>
      <c r="W201" s="244"/>
      <c r="X201" s="241">
        <f t="shared" si="366"/>
        <v>9200.6733600000007</v>
      </c>
      <c r="Z201" s="241">
        <f>15000*1.02*1.02*1.02*1.02</f>
        <v>16236.482400000001</v>
      </c>
      <c r="AA201" s="244"/>
      <c r="AB201" s="244"/>
      <c r="AC201" s="244"/>
      <c r="AD201" s="244"/>
      <c r="AE201" s="244"/>
      <c r="AF201" s="241">
        <f t="shared" si="367"/>
        <v>16236.482400000001</v>
      </c>
      <c r="AH201" s="241">
        <f>16000*1.02*1.02*1.02*1.02</f>
        <v>17318.914560000001</v>
      </c>
      <c r="AI201" s="244"/>
      <c r="AJ201" s="244"/>
      <c r="AK201" s="244"/>
      <c r="AL201" s="244"/>
      <c r="AM201" s="244"/>
      <c r="AN201" s="241">
        <f t="shared" si="368"/>
        <v>17318.914560000001</v>
      </c>
      <c r="AP201" s="241">
        <f>12000*1.02*1.02*1.02</f>
        <v>12734.496000000001</v>
      </c>
      <c r="AQ201" s="244"/>
      <c r="AR201" s="244"/>
      <c r="AS201" s="244"/>
      <c r="AT201" s="244"/>
      <c r="AU201" s="244"/>
      <c r="AV201" s="241">
        <f t="shared" si="369"/>
        <v>12734.496000000001</v>
      </c>
      <c r="AX201" s="241"/>
      <c r="AY201" s="244"/>
      <c r="AZ201" s="244"/>
      <c r="BA201" s="244"/>
      <c r="BB201" s="244"/>
      <c r="BC201" s="244"/>
      <c r="BD201" s="241">
        <f t="shared" si="370"/>
        <v>0</v>
      </c>
      <c r="BF201" s="241"/>
      <c r="BG201" s="244"/>
      <c r="BH201" s="244"/>
      <c r="BI201" s="244"/>
      <c r="BJ201" s="244"/>
      <c r="BK201" s="244"/>
      <c r="BL201" s="241">
        <f t="shared" si="371"/>
        <v>0</v>
      </c>
      <c r="BN201" s="241">
        <f t="shared" si="372"/>
        <v>104217.6483</v>
      </c>
      <c r="BO201" s="241">
        <f t="shared" si="363"/>
        <v>0</v>
      </c>
      <c r="BP201" s="241">
        <f t="shared" si="363"/>
        <v>0</v>
      </c>
      <c r="BQ201" s="241">
        <f t="shared" si="363"/>
        <v>0</v>
      </c>
      <c r="BR201" s="241">
        <f t="shared" si="363"/>
        <v>0</v>
      </c>
      <c r="BS201" s="241">
        <f t="shared" si="363"/>
        <v>0</v>
      </c>
      <c r="BT201" s="241">
        <f t="shared" si="373"/>
        <v>104217.6483</v>
      </c>
    </row>
    <row r="202" spans="1:73" x14ac:dyDescent="0.25">
      <c r="A202" s="211" t="s">
        <v>299</v>
      </c>
      <c r="B202" s="241">
        <f>(9235*13)*1.05*1.03*1.03*1.03</f>
        <v>137746.70698424999</v>
      </c>
      <c r="C202" s="244"/>
      <c r="D202" s="244"/>
      <c r="E202" s="244"/>
      <c r="F202" s="244"/>
      <c r="G202" s="244"/>
      <c r="H202" s="241">
        <f t="shared" si="364"/>
        <v>137746.70698424999</v>
      </c>
      <c r="J202" s="241">
        <f>((19825*13)+12500+15500)*1.05*1.03*1.04*1.03</f>
        <v>331013.21253000002</v>
      </c>
      <c r="K202" s="244"/>
      <c r="L202" s="244"/>
      <c r="M202" s="244"/>
      <c r="N202" s="244"/>
      <c r="O202" s="244"/>
      <c r="P202" s="241">
        <f t="shared" si="365"/>
        <v>331013.21253000002</v>
      </c>
      <c r="R202" s="241">
        <f>(7770*13)*1.05*1.03*1.03*1.03</f>
        <v>115895.17198350001</v>
      </c>
      <c r="S202" s="244"/>
      <c r="T202" s="244"/>
      <c r="U202" s="244"/>
      <c r="V202" s="244"/>
      <c r="W202" s="244"/>
      <c r="X202" s="241">
        <f t="shared" si="366"/>
        <v>115895.17198350001</v>
      </c>
      <c r="Z202" s="241">
        <f>(8950*13)*1.05*1.03*1.035*1.03</f>
        <v>134143.76327625001</v>
      </c>
      <c r="AA202" s="244"/>
      <c r="AB202" s="244"/>
      <c r="AC202" s="244"/>
      <c r="AD202" s="244"/>
      <c r="AE202" s="244"/>
      <c r="AF202" s="241">
        <f t="shared" si="367"/>
        <v>134143.76327625001</v>
      </c>
      <c r="AH202" s="241">
        <f>((37000*12.5)+12500)*1.04*1.03*1.03*1.03</f>
        <v>539807.13800000004</v>
      </c>
      <c r="AI202" s="244"/>
      <c r="AJ202" s="244"/>
      <c r="AK202" s="244"/>
      <c r="AL202" s="244"/>
      <c r="AM202" s="244"/>
      <c r="AN202" s="241">
        <f t="shared" si="368"/>
        <v>539807.13800000004</v>
      </c>
      <c r="AP202" s="241">
        <f>(7500*12)*1.04*1.03*1.03</f>
        <v>99300.24</v>
      </c>
      <c r="AQ202" s="244"/>
      <c r="AR202" s="244"/>
      <c r="AS202" s="244"/>
      <c r="AT202" s="244"/>
      <c r="AU202" s="244"/>
      <c r="AV202" s="241">
        <f t="shared" si="369"/>
        <v>99300.24</v>
      </c>
      <c r="AX202" s="241"/>
      <c r="AY202" s="244"/>
      <c r="AZ202" s="244"/>
      <c r="BA202" s="244"/>
      <c r="BB202" s="244"/>
      <c r="BC202" s="244"/>
      <c r="BD202" s="241">
        <f t="shared" si="370"/>
        <v>0</v>
      </c>
      <c r="BF202" s="241"/>
      <c r="BG202" s="244"/>
      <c r="BH202" s="244"/>
      <c r="BI202" s="244"/>
      <c r="BJ202" s="244"/>
      <c r="BK202" s="244"/>
      <c r="BL202" s="241">
        <f t="shared" si="371"/>
        <v>0</v>
      </c>
      <c r="BN202" s="241">
        <f t="shared" si="372"/>
        <v>1357906.2327739999</v>
      </c>
      <c r="BO202" s="241">
        <f t="shared" si="363"/>
        <v>0</v>
      </c>
      <c r="BP202" s="241">
        <f t="shared" si="363"/>
        <v>0</v>
      </c>
      <c r="BQ202" s="241">
        <f t="shared" si="363"/>
        <v>0</v>
      </c>
      <c r="BR202" s="241">
        <f t="shared" si="363"/>
        <v>0</v>
      </c>
      <c r="BS202" s="241">
        <f t="shared" si="363"/>
        <v>0</v>
      </c>
      <c r="BT202" s="241">
        <f t="shared" si="373"/>
        <v>1357906.2327739999</v>
      </c>
    </row>
    <row r="203" spans="1:73" x14ac:dyDescent="0.25">
      <c r="A203" s="211" t="s">
        <v>300</v>
      </c>
      <c r="B203" s="241">
        <f>100000+5000+5000+5000+5000</f>
        <v>120000</v>
      </c>
      <c r="C203" s="244"/>
      <c r="D203" s="244"/>
      <c r="E203" s="244"/>
      <c r="F203" s="244"/>
      <c r="G203" s="244"/>
      <c r="H203" s="241">
        <f t="shared" si="364"/>
        <v>120000</v>
      </c>
      <c r="J203" s="241">
        <f>235000+10000+10000+1000</f>
        <v>256000</v>
      </c>
      <c r="K203" s="244"/>
      <c r="L203" s="244"/>
      <c r="M203" s="244"/>
      <c r="N203" s="244"/>
      <c r="O203" s="244"/>
      <c r="P203" s="241">
        <f t="shared" si="365"/>
        <v>256000</v>
      </c>
      <c r="R203" s="241">
        <f>105000+5000+5000+5000+5000</f>
        <v>125000</v>
      </c>
      <c r="S203" s="244"/>
      <c r="T203" s="244"/>
      <c r="U203" s="244"/>
      <c r="V203" s="244"/>
      <c r="W203" s="244"/>
      <c r="X203" s="241">
        <f t="shared" si="366"/>
        <v>125000</v>
      </c>
      <c r="Z203" s="241">
        <f>150000+5000+5000+5000+7500</f>
        <v>172500</v>
      </c>
      <c r="AA203" s="244"/>
      <c r="AB203" s="244"/>
      <c r="AC203" s="244"/>
      <c r="AD203" s="244"/>
      <c r="AE203" s="244"/>
      <c r="AF203" s="241">
        <f t="shared" si="367"/>
        <v>172500</v>
      </c>
      <c r="AH203" s="241">
        <f>165000+5000+5000+5000+10000</f>
        <v>190000</v>
      </c>
      <c r="AI203" s="244"/>
      <c r="AJ203" s="244"/>
      <c r="AK203" s="244"/>
      <c r="AL203" s="244"/>
      <c r="AM203" s="244"/>
      <c r="AN203" s="241">
        <f t="shared" si="368"/>
        <v>190000</v>
      </c>
      <c r="AP203" s="241">
        <f>55000+10000+5000+5000</f>
        <v>75000</v>
      </c>
      <c r="AQ203" s="244"/>
      <c r="AR203" s="244"/>
      <c r="AS203" s="244"/>
      <c r="AT203" s="244"/>
      <c r="AU203" s="244"/>
      <c r="AV203" s="241">
        <f t="shared" si="369"/>
        <v>75000</v>
      </c>
      <c r="AX203" s="241"/>
      <c r="AY203" s="244"/>
      <c r="AZ203" s="244"/>
      <c r="BA203" s="244"/>
      <c r="BB203" s="244"/>
      <c r="BC203" s="244"/>
      <c r="BD203" s="241">
        <f t="shared" si="370"/>
        <v>0</v>
      </c>
      <c r="BF203" s="241"/>
      <c r="BG203" s="244"/>
      <c r="BH203" s="244"/>
      <c r="BI203" s="244"/>
      <c r="BJ203" s="244"/>
      <c r="BK203" s="244"/>
      <c r="BL203" s="241">
        <f t="shared" si="371"/>
        <v>0</v>
      </c>
      <c r="BN203" s="241">
        <f t="shared" si="372"/>
        <v>938500</v>
      </c>
      <c r="BO203" s="241">
        <f t="shared" si="363"/>
        <v>0</v>
      </c>
      <c r="BP203" s="241">
        <f t="shared" si="363"/>
        <v>0</v>
      </c>
      <c r="BQ203" s="241">
        <f t="shared" si="363"/>
        <v>0</v>
      </c>
      <c r="BR203" s="241">
        <f t="shared" si="363"/>
        <v>0</v>
      </c>
      <c r="BS203" s="241">
        <f t="shared" si="363"/>
        <v>0</v>
      </c>
      <c r="BT203" s="241">
        <f t="shared" si="373"/>
        <v>938500</v>
      </c>
    </row>
    <row r="204" spans="1:73" x14ac:dyDescent="0.25">
      <c r="A204" s="211" t="s">
        <v>301</v>
      </c>
      <c r="B204" s="241">
        <v>0</v>
      </c>
      <c r="C204" s="244"/>
      <c r="D204" s="244"/>
      <c r="E204" s="244"/>
      <c r="F204" s="244"/>
      <c r="G204" s="244"/>
      <c r="H204" s="241">
        <f t="shared" si="364"/>
        <v>0</v>
      </c>
      <c r="J204" s="241">
        <v>0</v>
      </c>
      <c r="K204" s="244"/>
      <c r="L204" s="244"/>
      <c r="M204" s="244"/>
      <c r="N204" s="244"/>
      <c r="O204" s="244"/>
      <c r="P204" s="241">
        <f t="shared" si="365"/>
        <v>0</v>
      </c>
      <c r="R204" s="241">
        <v>0</v>
      </c>
      <c r="S204" s="244"/>
      <c r="T204" s="244"/>
      <c r="U204" s="244"/>
      <c r="V204" s="244"/>
      <c r="W204" s="244"/>
      <c r="X204" s="241">
        <f t="shared" si="366"/>
        <v>0</v>
      </c>
      <c r="Z204" s="241"/>
      <c r="AA204" s="244"/>
      <c r="AB204" s="244"/>
      <c r="AC204" s="244"/>
      <c r="AD204" s="244"/>
      <c r="AE204" s="244"/>
      <c r="AF204" s="241">
        <f t="shared" si="367"/>
        <v>0</v>
      </c>
      <c r="AH204" s="241"/>
      <c r="AI204" s="244"/>
      <c r="AJ204" s="244"/>
      <c r="AK204" s="244"/>
      <c r="AL204" s="244"/>
      <c r="AM204" s="244"/>
      <c r="AN204" s="241">
        <f t="shared" si="368"/>
        <v>0</v>
      </c>
      <c r="AP204" s="241">
        <v>0</v>
      </c>
      <c r="AQ204" s="244"/>
      <c r="AR204" s="244"/>
      <c r="AS204" s="244"/>
      <c r="AT204" s="244"/>
      <c r="AU204" s="244"/>
      <c r="AV204" s="241">
        <f t="shared" si="369"/>
        <v>0</v>
      </c>
      <c r="AX204" s="241"/>
      <c r="AY204" s="244"/>
      <c r="AZ204" s="244"/>
      <c r="BA204" s="244"/>
      <c r="BB204" s="244"/>
      <c r="BC204" s="244"/>
      <c r="BD204" s="241">
        <f t="shared" si="370"/>
        <v>0</v>
      </c>
      <c r="BF204" s="241"/>
      <c r="BG204" s="244"/>
      <c r="BH204" s="244"/>
      <c r="BI204" s="244"/>
      <c r="BJ204" s="244"/>
      <c r="BK204" s="244"/>
      <c r="BL204" s="241">
        <f t="shared" si="371"/>
        <v>0</v>
      </c>
      <c r="BN204" s="241">
        <f t="shared" si="372"/>
        <v>0</v>
      </c>
      <c r="BO204" s="241">
        <f t="shared" si="363"/>
        <v>0</v>
      </c>
      <c r="BP204" s="241">
        <f t="shared" si="363"/>
        <v>0</v>
      </c>
      <c r="BQ204" s="241">
        <f t="shared" si="363"/>
        <v>0</v>
      </c>
      <c r="BR204" s="241">
        <f t="shared" si="363"/>
        <v>0</v>
      </c>
      <c r="BS204" s="241">
        <f t="shared" si="363"/>
        <v>0</v>
      </c>
      <c r="BT204" s="241">
        <f t="shared" si="373"/>
        <v>0</v>
      </c>
    </row>
    <row r="205" spans="1:73" x14ac:dyDescent="0.25">
      <c r="A205" s="211" t="s">
        <v>302</v>
      </c>
      <c r="B205" s="241">
        <f>(((700*1.04)*12)+17500)*1.03*1.03*1.03*1.03</f>
        <v>29528.84913916</v>
      </c>
      <c r="C205" s="244"/>
      <c r="D205" s="244"/>
      <c r="E205" s="244"/>
      <c r="F205" s="244"/>
      <c r="G205" s="244"/>
      <c r="H205" s="241">
        <f t="shared" si="364"/>
        <v>29528.84913916</v>
      </c>
      <c r="J205" s="241">
        <f>(((1200*1.04)*12)+20000)*1.02*1.03*1.03*1.03</f>
        <v>38983.603943040005</v>
      </c>
      <c r="K205" s="244"/>
      <c r="L205" s="244"/>
      <c r="M205" s="244"/>
      <c r="N205" s="244"/>
      <c r="O205" s="244"/>
      <c r="P205" s="241">
        <f t="shared" si="365"/>
        <v>38983.603943040005</v>
      </c>
      <c r="R205" s="241">
        <f>((960*1.04)+17500)*1.03*1.03*1.03*1.03</f>
        <v>20820.112170904002</v>
      </c>
      <c r="S205" s="244"/>
      <c r="T205" s="244"/>
      <c r="U205" s="244"/>
      <c r="V205" s="244"/>
      <c r="W205" s="244"/>
      <c r="X205" s="241">
        <f t="shared" si="366"/>
        <v>20820.112170904002</v>
      </c>
      <c r="Z205" s="241">
        <f>(((625*1.04)*12)+15000)*1.02*1.02*1.03*1.03</f>
        <v>25165.736208000002</v>
      </c>
      <c r="AA205" s="244"/>
      <c r="AB205" s="244"/>
      <c r="AC205" s="244"/>
      <c r="AD205" s="244"/>
      <c r="AE205" s="244"/>
      <c r="AF205" s="241">
        <f t="shared" si="367"/>
        <v>25165.736208000002</v>
      </c>
      <c r="AH205" s="241">
        <f>(((1330*1.04)*12)+20000)*1.02*1.03*1.03+1.03</f>
        <v>39604.817411199998</v>
      </c>
      <c r="AI205" s="244"/>
      <c r="AJ205" s="244"/>
      <c r="AK205" s="244"/>
      <c r="AL205" s="244"/>
      <c r="AM205" s="244"/>
      <c r="AN205" s="241">
        <f t="shared" si="368"/>
        <v>39604.817411199998</v>
      </c>
      <c r="AP205" s="241">
        <f>25000*1.03*1.03*1.03</f>
        <v>27318.174999999999</v>
      </c>
      <c r="AQ205" s="244"/>
      <c r="AR205" s="244"/>
      <c r="AS205" s="244"/>
      <c r="AT205" s="244"/>
      <c r="AU205" s="244"/>
      <c r="AV205" s="241">
        <f t="shared" si="369"/>
        <v>27318.174999999999</v>
      </c>
      <c r="AX205" s="241"/>
      <c r="AY205" s="244"/>
      <c r="AZ205" s="244"/>
      <c r="BA205" s="244"/>
      <c r="BB205" s="244"/>
      <c r="BC205" s="244"/>
      <c r="BD205" s="241">
        <f t="shared" si="370"/>
        <v>0</v>
      </c>
      <c r="BF205" s="241"/>
      <c r="BG205" s="244"/>
      <c r="BH205" s="244"/>
      <c r="BI205" s="244"/>
      <c r="BJ205" s="244"/>
      <c r="BK205" s="244"/>
      <c r="BL205" s="241">
        <f t="shared" si="371"/>
        <v>0</v>
      </c>
      <c r="BN205" s="241">
        <f t="shared" si="372"/>
        <v>181421.293872304</v>
      </c>
      <c r="BO205" s="241">
        <f t="shared" si="363"/>
        <v>0</v>
      </c>
      <c r="BP205" s="241">
        <f t="shared" si="363"/>
        <v>0</v>
      </c>
      <c r="BQ205" s="241">
        <f t="shared" si="363"/>
        <v>0</v>
      </c>
      <c r="BR205" s="241">
        <f t="shared" si="363"/>
        <v>0</v>
      </c>
      <c r="BS205" s="241">
        <f t="shared" si="363"/>
        <v>0</v>
      </c>
      <c r="BT205" s="241">
        <f t="shared" si="373"/>
        <v>181421.293872304</v>
      </c>
    </row>
    <row r="206" spans="1:73" x14ac:dyDescent="0.25">
      <c r="A206" s="212" t="s">
        <v>303</v>
      </c>
      <c r="B206" s="241">
        <f>((6500*1.05)+25000)*1.03*1.03*1.03*1.03</f>
        <v>35819.317878250004</v>
      </c>
      <c r="C206" s="245"/>
      <c r="D206" s="245"/>
      <c r="E206" s="245"/>
      <c r="F206" s="245"/>
      <c r="G206" s="245"/>
      <c r="H206" s="241">
        <f t="shared" si="364"/>
        <v>35819.317878250004</v>
      </c>
      <c r="J206" s="241">
        <f>((29835*1.04)+25000)*1.02*1.03*1.03*1.03</f>
        <v>62448.220355736004</v>
      </c>
      <c r="K206" s="245"/>
      <c r="L206" s="245"/>
      <c r="M206" s="245"/>
      <c r="N206" s="245"/>
      <c r="O206" s="245"/>
      <c r="P206" s="241">
        <f t="shared" si="365"/>
        <v>62448.220355736004</v>
      </c>
      <c r="R206" s="241">
        <f>((9200*1.04)+15500)*1.03*1.03*1.03*1.03</f>
        <v>28214.254849080004</v>
      </c>
      <c r="S206" s="245"/>
      <c r="T206" s="245"/>
      <c r="U206" s="245"/>
      <c r="V206" s="245"/>
      <c r="W206" s="245"/>
      <c r="X206" s="241">
        <f t="shared" si="366"/>
        <v>28214.254849080004</v>
      </c>
      <c r="Z206" s="241">
        <f>((12675*1.04)+15000)*1.02*1.02*1.03*1.03</f>
        <v>31106.174465520002</v>
      </c>
      <c r="AA206" s="245"/>
      <c r="AB206" s="245"/>
      <c r="AC206" s="245"/>
      <c r="AD206" s="245"/>
      <c r="AE206" s="245"/>
      <c r="AF206" s="241">
        <f t="shared" si="367"/>
        <v>31106.174465520002</v>
      </c>
      <c r="AH206" s="241">
        <f>((26170*1.04)+25000)*1.02*1.03*1.03*1.03</f>
        <v>58199.881357872007</v>
      </c>
      <c r="AI206" s="245"/>
      <c r="AJ206" s="245"/>
      <c r="AK206" s="245"/>
      <c r="AL206" s="245"/>
      <c r="AM206" s="245"/>
      <c r="AN206" s="241">
        <f t="shared" si="368"/>
        <v>58199.881357872007</v>
      </c>
      <c r="AP206" s="241">
        <f>25000*1.03*1.03*1.03</f>
        <v>27318.174999999999</v>
      </c>
      <c r="AQ206" s="245"/>
      <c r="AR206" s="245"/>
      <c r="AS206" s="245"/>
      <c r="AT206" s="245"/>
      <c r="AU206" s="245"/>
      <c r="AV206" s="241">
        <f t="shared" si="369"/>
        <v>27318.174999999999</v>
      </c>
      <c r="AX206" s="241"/>
      <c r="AY206" s="245"/>
      <c r="AZ206" s="245"/>
      <c r="BA206" s="245"/>
      <c r="BB206" s="245"/>
      <c r="BC206" s="245"/>
      <c r="BD206" s="241">
        <f t="shared" si="370"/>
        <v>0</v>
      </c>
      <c r="BF206" s="241"/>
      <c r="BG206" s="245"/>
      <c r="BH206" s="245"/>
      <c r="BI206" s="245"/>
      <c r="BJ206" s="245"/>
      <c r="BK206" s="245"/>
      <c r="BL206" s="241">
        <f t="shared" si="371"/>
        <v>0</v>
      </c>
      <c r="BN206" s="241">
        <f t="shared" si="372"/>
        <v>243106.02390645802</v>
      </c>
      <c r="BO206" s="241">
        <f t="shared" si="363"/>
        <v>0</v>
      </c>
      <c r="BP206" s="241">
        <f t="shared" si="363"/>
        <v>0</v>
      </c>
      <c r="BQ206" s="241">
        <f t="shared" si="363"/>
        <v>0</v>
      </c>
      <c r="BR206" s="241">
        <f t="shared" si="363"/>
        <v>0</v>
      </c>
      <c r="BS206" s="241">
        <f t="shared" si="363"/>
        <v>0</v>
      </c>
      <c r="BT206" s="241">
        <f t="shared" si="373"/>
        <v>243106.02390645802</v>
      </c>
    </row>
    <row r="207" spans="1:73" x14ac:dyDescent="0.25">
      <c r="A207" s="213"/>
      <c r="B207" s="258">
        <f>SUM(B197:B206)</f>
        <v>530921.84872165998</v>
      </c>
      <c r="C207" s="258">
        <f t="shared" ref="C207:H207" si="374">SUM(C197:C206)</f>
        <v>0</v>
      </c>
      <c r="D207" s="258">
        <f t="shared" si="374"/>
        <v>0</v>
      </c>
      <c r="E207" s="258">
        <f t="shared" si="374"/>
        <v>0</v>
      </c>
      <c r="F207" s="258">
        <f t="shared" si="374"/>
        <v>0</v>
      </c>
      <c r="G207" s="258">
        <f t="shared" si="374"/>
        <v>0</v>
      </c>
      <c r="H207" s="258">
        <f t="shared" si="374"/>
        <v>530921.84872165998</v>
      </c>
      <c r="J207" s="258">
        <f>SUM(J197:J206)</f>
        <v>1144996.9542087761</v>
      </c>
      <c r="K207" s="258">
        <f t="shared" ref="K207:P207" si="375">SUM(K197:K206)</f>
        <v>0</v>
      </c>
      <c r="L207" s="258">
        <f t="shared" si="375"/>
        <v>0</v>
      </c>
      <c r="M207" s="258">
        <f t="shared" si="375"/>
        <v>0</v>
      </c>
      <c r="N207" s="258">
        <f t="shared" si="375"/>
        <v>0</v>
      </c>
      <c r="O207" s="258">
        <f t="shared" si="375"/>
        <v>0</v>
      </c>
      <c r="P207" s="258">
        <f t="shared" si="375"/>
        <v>1144996.9542087761</v>
      </c>
      <c r="R207" s="258">
        <f>SUM(R197:R206)</f>
        <v>471886.385099484</v>
      </c>
      <c r="S207" s="258">
        <f t="shared" ref="S207:X207" si="376">SUM(S197:S206)</f>
        <v>0</v>
      </c>
      <c r="T207" s="258">
        <f t="shared" si="376"/>
        <v>0</v>
      </c>
      <c r="U207" s="258">
        <f t="shared" si="376"/>
        <v>0</v>
      </c>
      <c r="V207" s="258">
        <f t="shared" si="376"/>
        <v>0</v>
      </c>
      <c r="W207" s="258">
        <f t="shared" si="376"/>
        <v>0</v>
      </c>
      <c r="X207" s="258">
        <f t="shared" si="376"/>
        <v>471886.385099484</v>
      </c>
      <c r="Z207" s="258">
        <f>SUM(Z197:Z206)</f>
        <v>565850.47978976998</v>
      </c>
      <c r="AA207" s="258">
        <f t="shared" ref="AA207:AF207" si="377">SUM(AA197:AA206)</f>
        <v>0</v>
      </c>
      <c r="AB207" s="258">
        <f t="shared" si="377"/>
        <v>0</v>
      </c>
      <c r="AC207" s="258">
        <f t="shared" si="377"/>
        <v>0</v>
      </c>
      <c r="AD207" s="258">
        <f t="shared" si="377"/>
        <v>0</v>
      </c>
      <c r="AE207" s="258">
        <f t="shared" si="377"/>
        <v>0</v>
      </c>
      <c r="AF207" s="258">
        <f t="shared" si="377"/>
        <v>565850.47978976998</v>
      </c>
      <c r="AH207" s="258">
        <f>SUM(AH197:AH206)</f>
        <v>1253548.891729072</v>
      </c>
      <c r="AI207" s="258">
        <f t="shared" ref="AI207:AN207" si="378">SUM(AI197:AI206)</f>
        <v>0</v>
      </c>
      <c r="AJ207" s="258">
        <f t="shared" si="378"/>
        <v>0</v>
      </c>
      <c r="AK207" s="258">
        <f t="shared" si="378"/>
        <v>0</v>
      </c>
      <c r="AL207" s="258">
        <f t="shared" si="378"/>
        <v>0</v>
      </c>
      <c r="AM207" s="258">
        <f t="shared" si="378"/>
        <v>0</v>
      </c>
      <c r="AN207" s="258">
        <f t="shared" si="378"/>
        <v>1253548.891729072</v>
      </c>
      <c r="AP207" s="258">
        <f>SUM(AP197:AP206)</f>
        <v>390089.348</v>
      </c>
      <c r="AQ207" s="258">
        <f t="shared" ref="AQ207:AV207" si="379">SUM(AQ197:AQ206)</f>
        <v>0</v>
      </c>
      <c r="AR207" s="258">
        <f t="shared" si="379"/>
        <v>0</v>
      </c>
      <c r="AS207" s="258">
        <f t="shared" si="379"/>
        <v>0</v>
      </c>
      <c r="AT207" s="258">
        <f t="shared" si="379"/>
        <v>0</v>
      </c>
      <c r="AU207" s="258">
        <f t="shared" si="379"/>
        <v>0</v>
      </c>
      <c r="AV207" s="258">
        <f t="shared" si="379"/>
        <v>390089.348</v>
      </c>
      <c r="AX207" s="258">
        <f>SUM(AX197:AX206)</f>
        <v>0</v>
      </c>
      <c r="AY207" s="258">
        <f t="shared" ref="AY207:BD207" si="380">SUM(AY197:AY206)</f>
        <v>0</v>
      </c>
      <c r="AZ207" s="258">
        <f t="shared" si="380"/>
        <v>0</v>
      </c>
      <c r="BA207" s="258">
        <f t="shared" si="380"/>
        <v>0</v>
      </c>
      <c r="BB207" s="258">
        <f t="shared" si="380"/>
        <v>0</v>
      </c>
      <c r="BC207" s="258">
        <f t="shared" si="380"/>
        <v>0</v>
      </c>
      <c r="BD207" s="258">
        <f t="shared" si="380"/>
        <v>0</v>
      </c>
      <c r="BF207" s="258">
        <f>SUM(BF197:BF206)</f>
        <v>0</v>
      </c>
      <c r="BG207" s="258">
        <f t="shared" ref="BG207:BL207" si="381">SUM(BG197:BG206)</f>
        <v>0</v>
      </c>
      <c r="BH207" s="258">
        <f t="shared" si="381"/>
        <v>0</v>
      </c>
      <c r="BI207" s="258">
        <f t="shared" si="381"/>
        <v>0</v>
      </c>
      <c r="BJ207" s="258">
        <f t="shared" si="381"/>
        <v>0</v>
      </c>
      <c r="BK207" s="258">
        <f t="shared" si="381"/>
        <v>0</v>
      </c>
      <c r="BL207" s="258">
        <f t="shared" si="381"/>
        <v>0</v>
      </c>
      <c r="BN207" s="258">
        <f>SUM(BN197:BN206)</f>
        <v>4357293.9075487619</v>
      </c>
      <c r="BO207" s="258">
        <f t="shared" ref="BO207:BT207" si="382">SUM(BO197:BO206)</f>
        <v>0</v>
      </c>
      <c r="BP207" s="258">
        <f t="shared" si="382"/>
        <v>0</v>
      </c>
      <c r="BQ207" s="258">
        <f t="shared" si="382"/>
        <v>0</v>
      </c>
      <c r="BR207" s="258">
        <f t="shared" si="382"/>
        <v>0</v>
      </c>
      <c r="BS207" s="258">
        <f t="shared" si="382"/>
        <v>0</v>
      </c>
      <c r="BT207" s="258">
        <f t="shared" si="382"/>
        <v>4357293.9075487619</v>
      </c>
    </row>
    <row r="208" spans="1:73" ht="16.5" thickBot="1" x14ac:dyDescent="0.3">
      <c r="B208" s="259"/>
      <c r="C208" s="259"/>
      <c r="D208" s="259"/>
      <c r="E208" s="259"/>
      <c r="F208" s="259"/>
      <c r="G208" s="259"/>
      <c r="H208" s="259"/>
      <c r="J208" s="259"/>
      <c r="K208" s="259"/>
      <c r="L208" s="259"/>
      <c r="M208" s="259"/>
      <c r="N208" s="259"/>
      <c r="O208" s="259"/>
      <c r="P208" s="259"/>
      <c r="R208" s="259"/>
      <c r="S208" s="259"/>
      <c r="T208" s="259"/>
      <c r="U208" s="259"/>
      <c r="V208" s="259"/>
      <c r="W208" s="259"/>
      <c r="X208" s="259"/>
      <c r="Z208" s="259"/>
      <c r="AA208" s="259"/>
      <c r="AB208" s="259"/>
      <c r="AC208" s="259"/>
      <c r="AD208" s="259"/>
      <c r="AE208" s="259"/>
      <c r="AF208" s="259"/>
      <c r="AH208" s="259"/>
      <c r="AI208" s="259"/>
      <c r="AJ208" s="259"/>
      <c r="AK208" s="259"/>
      <c r="AL208" s="259"/>
      <c r="AM208" s="259"/>
      <c r="AN208" s="259"/>
      <c r="AP208" s="259"/>
      <c r="AQ208" s="259"/>
      <c r="AR208" s="259"/>
      <c r="AS208" s="259"/>
      <c r="AT208" s="259"/>
      <c r="AU208" s="259"/>
      <c r="AV208" s="259"/>
      <c r="AX208" s="259"/>
      <c r="AY208" s="259"/>
      <c r="AZ208" s="259"/>
      <c r="BA208" s="259"/>
      <c r="BB208" s="259"/>
      <c r="BC208" s="259"/>
      <c r="BD208" s="259"/>
      <c r="BF208" s="259"/>
      <c r="BG208" s="259"/>
      <c r="BH208" s="259"/>
      <c r="BI208" s="259"/>
      <c r="BJ208" s="259"/>
      <c r="BK208" s="259"/>
      <c r="BL208" s="259"/>
      <c r="BN208" s="259"/>
      <c r="BO208" s="259"/>
      <c r="BP208" s="259"/>
      <c r="BQ208" s="259"/>
      <c r="BR208" s="259"/>
      <c r="BS208" s="259"/>
      <c r="BT208" s="259"/>
    </row>
    <row r="209" spans="1:72" ht="16.5" thickBot="1" x14ac:dyDescent="0.3">
      <c r="A209" s="284" t="s">
        <v>338</v>
      </c>
      <c r="B209" s="264">
        <f t="shared" ref="B209:H209" si="383">B207+B194+B171+B159+B149+B141+B132+B125+B116+B109</f>
        <v>8044671.7998217922</v>
      </c>
      <c r="C209" s="264">
        <f t="shared" si="383"/>
        <v>1483505.5730906562</v>
      </c>
      <c r="D209" s="264">
        <f t="shared" si="383"/>
        <v>328267.18</v>
      </c>
      <c r="E209" s="264">
        <f t="shared" si="383"/>
        <v>0</v>
      </c>
      <c r="F209" s="264">
        <f t="shared" si="383"/>
        <v>105136.75</v>
      </c>
      <c r="G209" s="264">
        <f t="shared" si="383"/>
        <v>300000</v>
      </c>
      <c r="H209" s="264">
        <f t="shared" si="383"/>
        <v>10261581.302912448</v>
      </c>
      <c r="J209" s="264">
        <f t="shared" ref="J209:P209" si="384">J207+J194+J171+J159+J149+J141+J132+J125+J116+J109</f>
        <v>22680050.338412799</v>
      </c>
      <c r="K209" s="264">
        <f t="shared" si="384"/>
        <v>2981415.0800103778</v>
      </c>
      <c r="L209" s="264">
        <f t="shared" si="384"/>
        <v>720547.27500000002</v>
      </c>
      <c r="M209" s="264">
        <f t="shared" si="384"/>
        <v>0</v>
      </c>
      <c r="N209" s="264">
        <f t="shared" si="384"/>
        <v>49770</v>
      </c>
      <c r="O209" s="264">
        <f t="shared" si="384"/>
        <v>1500000</v>
      </c>
      <c r="P209" s="264">
        <f t="shared" si="384"/>
        <v>27931782.693423174</v>
      </c>
      <c r="R209" s="264">
        <f t="shared" ref="R209:X209" si="385">R207+R194+R171+R159+R149+R141+R132+R125+R116+R109</f>
        <v>9087298.2840039376</v>
      </c>
      <c r="S209" s="264">
        <f t="shared" si="385"/>
        <v>1068327.7097703726</v>
      </c>
      <c r="T209" s="264">
        <f t="shared" si="385"/>
        <v>223355.27499999999</v>
      </c>
      <c r="U209" s="264">
        <f t="shared" si="385"/>
        <v>0</v>
      </c>
      <c r="V209" s="264">
        <f t="shared" si="385"/>
        <v>0</v>
      </c>
      <c r="W209" s="264">
        <f t="shared" si="385"/>
        <v>850000</v>
      </c>
      <c r="X209" s="264">
        <f t="shared" si="385"/>
        <v>11228981.26877431</v>
      </c>
      <c r="Z209" s="264">
        <f t="shared" ref="Z209:AF209" si="386">Z207+Z194+Z171+Z159+Z149+Z141+Z132+Z125+Z116+Z109</f>
        <v>10809547.376858855</v>
      </c>
      <c r="AA209" s="264">
        <f t="shared" si="386"/>
        <v>1243009.739362272</v>
      </c>
      <c r="AB209" s="264">
        <f t="shared" si="386"/>
        <v>174068.74</v>
      </c>
      <c r="AC209" s="264">
        <f t="shared" si="386"/>
        <v>0</v>
      </c>
      <c r="AD209" s="264">
        <f t="shared" si="386"/>
        <v>0</v>
      </c>
      <c r="AE209" s="264">
        <f t="shared" si="386"/>
        <v>900000</v>
      </c>
      <c r="AF209" s="264">
        <f t="shared" si="386"/>
        <v>13126625.856221128</v>
      </c>
      <c r="AH209" s="264">
        <f t="shared" ref="AH209:AN209" si="387">AH207+AH194+AH171+AH159+AH149+AH141+AH132+AH125+AH116+AH109</f>
        <v>21234922.466147117</v>
      </c>
      <c r="AI209" s="264">
        <f t="shared" si="387"/>
        <v>2759445.5736375777</v>
      </c>
      <c r="AJ209" s="264">
        <f t="shared" si="387"/>
        <v>353387.54000000004</v>
      </c>
      <c r="AK209" s="264">
        <f t="shared" si="387"/>
        <v>0</v>
      </c>
      <c r="AL209" s="264">
        <f t="shared" si="387"/>
        <v>0</v>
      </c>
      <c r="AM209" s="264">
        <f t="shared" si="387"/>
        <v>2500000</v>
      </c>
      <c r="AN209" s="264">
        <f t="shared" si="387"/>
        <v>26847755.579784695</v>
      </c>
      <c r="AP209" s="264">
        <f t="shared" ref="AP209:AV209" si="388">AP207+AP194+AP171+AP159+AP149+AP141+AP132+AP125+AP116+AP109</f>
        <v>7249540.6497083828</v>
      </c>
      <c r="AQ209" s="264">
        <f t="shared" si="388"/>
        <v>1179038.5933243749</v>
      </c>
      <c r="AR209" s="264">
        <f t="shared" si="388"/>
        <v>551932.88</v>
      </c>
      <c r="AS209" s="264">
        <f t="shared" si="388"/>
        <v>0</v>
      </c>
      <c r="AT209" s="264">
        <f t="shared" si="388"/>
        <v>247643.65378575001</v>
      </c>
      <c r="AU209" s="264">
        <f t="shared" si="388"/>
        <v>100000</v>
      </c>
      <c r="AV209" s="264">
        <f t="shared" si="388"/>
        <v>9328155.7768185083</v>
      </c>
      <c r="AX209" s="264">
        <f t="shared" ref="AX209:BD209" si="389">AX207+AX194+AX171+AX159+AX149+AX141+AX132+AX125+AX116+AX109</f>
        <v>1602738.8070545821</v>
      </c>
      <c r="AY209" s="264">
        <f t="shared" si="389"/>
        <v>273392.46527897503</v>
      </c>
      <c r="AZ209" s="264">
        <f t="shared" si="389"/>
        <v>0</v>
      </c>
      <c r="BA209" s="264">
        <f t="shared" si="389"/>
        <v>0</v>
      </c>
      <c r="BB209" s="264">
        <f t="shared" si="389"/>
        <v>41844.455862002433</v>
      </c>
      <c r="BC209" s="264">
        <f t="shared" si="389"/>
        <v>25000</v>
      </c>
      <c r="BD209" s="264">
        <f t="shared" si="389"/>
        <v>1942975.7281955595</v>
      </c>
      <c r="BF209" s="264">
        <f t="shared" ref="BF209:BL209" si="390">BF207+BF194+BF171+BF159+BF149+BF141+BF132+BF125+BF116+BF109</f>
        <v>584040.75970376888</v>
      </c>
      <c r="BG209" s="264">
        <f t="shared" si="390"/>
        <v>0</v>
      </c>
      <c r="BH209" s="264">
        <f t="shared" si="390"/>
        <v>40149.25</v>
      </c>
      <c r="BI209" s="264">
        <f t="shared" si="390"/>
        <v>0</v>
      </c>
      <c r="BJ209" s="264">
        <f t="shared" si="390"/>
        <v>790183.73942281248</v>
      </c>
      <c r="BK209" s="264">
        <f t="shared" si="390"/>
        <v>0</v>
      </c>
      <c r="BL209" s="264">
        <f t="shared" si="390"/>
        <v>1414373.7491265812</v>
      </c>
      <c r="BN209" s="264">
        <f t="shared" ref="BN209:BT209" si="391">BN207+BN194+BN171+BN159+BN149+BN141+BN132+BN125+BN116+BN109</f>
        <v>81292810.481711254</v>
      </c>
      <c r="BO209" s="264">
        <f t="shared" si="391"/>
        <v>10988134.734474607</v>
      </c>
      <c r="BP209" s="264">
        <f t="shared" si="391"/>
        <v>2391708.14</v>
      </c>
      <c r="BQ209" s="264">
        <f t="shared" si="391"/>
        <v>0</v>
      </c>
      <c r="BR209" s="264">
        <f t="shared" si="391"/>
        <v>1234578.5990705648</v>
      </c>
      <c r="BS209" s="264">
        <f t="shared" si="391"/>
        <v>6175000</v>
      </c>
      <c r="BT209" s="264">
        <f t="shared" si="391"/>
        <v>102082231.95525642</v>
      </c>
    </row>
    <row r="210" spans="1:72" ht="16.5" thickBot="1" x14ac:dyDescent="0.3">
      <c r="B210" s="259"/>
      <c r="C210" s="259"/>
      <c r="D210" s="259"/>
      <c r="E210" s="259"/>
      <c r="F210" s="259"/>
      <c r="G210" s="259"/>
      <c r="H210" s="259"/>
    </row>
    <row r="211" spans="1:72" ht="16.5" thickBot="1" x14ac:dyDescent="0.3">
      <c r="A211" s="284" t="s">
        <v>339</v>
      </c>
      <c r="B211" s="265"/>
      <c r="C211" s="265"/>
      <c r="D211" s="265"/>
      <c r="E211" s="265"/>
      <c r="F211" s="265"/>
      <c r="G211" s="265"/>
      <c r="H211" s="265"/>
      <c r="J211" s="265"/>
      <c r="K211" s="265"/>
      <c r="L211" s="265"/>
      <c r="M211" s="265"/>
      <c r="N211" s="265"/>
      <c r="O211" s="265"/>
      <c r="P211" s="265"/>
      <c r="R211" s="265"/>
      <c r="S211" s="265"/>
      <c r="T211" s="265"/>
      <c r="U211" s="265"/>
      <c r="V211" s="265"/>
      <c r="W211" s="265"/>
      <c r="X211" s="265"/>
      <c r="Z211" s="265"/>
      <c r="AA211" s="265"/>
      <c r="AB211" s="265"/>
      <c r="AC211" s="265"/>
      <c r="AD211" s="265"/>
      <c r="AE211" s="265"/>
      <c r="AF211" s="265"/>
      <c r="AH211" s="265"/>
      <c r="AI211" s="265"/>
      <c r="AJ211" s="265"/>
      <c r="AK211" s="265"/>
      <c r="AL211" s="265"/>
      <c r="AM211" s="265"/>
      <c r="AN211" s="265"/>
      <c r="AP211" s="265"/>
      <c r="AQ211" s="265"/>
      <c r="AR211" s="265"/>
      <c r="AS211" s="265"/>
      <c r="AT211" s="265"/>
      <c r="AU211" s="265"/>
      <c r="AV211" s="265"/>
      <c r="AX211" s="265"/>
      <c r="AY211" s="265"/>
      <c r="AZ211" s="265"/>
      <c r="BA211" s="265"/>
      <c r="BB211" s="265"/>
      <c r="BC211" s="265"/>
      <c r="BD211" s="265"/>
      <c r="BF211" s="265"/>
      <c r="BG211" s="265"/>
      <c r="BH211" s="265"/>
      <c r="BI211" s="265"/>
      <c r="BJ211" s="265"/>
      <c r="BK211" s="265"/>
      <c r="BL211" s="265"/>
      <c r="BN211" s="265"/>
      <c r="BO211" s="265"/>
      <c r="BP211" s="265"/>
      <c r="BQ211" s="265"/>
      <c r="BR211" s="265"/>
      <c r="BS211" s="265"/>
      <c r="BT211" s="265"/>
    </row>
    <row r="212" spans="1:72" x14ac:dyDescent="0.25">
      <c r="A212" s="215" t="s">
        <v>304</v>
      </c>
      <c r="B212" s="266">
        <v>0</v>
      </c>
      <c r="C212" s="266"/>
      <c r="D212" s="266"/>
      <c r="E212" s="266"/>
      <c r="F212" s="266"/>
      <c r="G212" s="266"/>
      <c r="H212" s="241">
        <f>SUM(B212:G212)</f>
        <v>0</v>
      </c>
      <c r="J212" s="266">
        <v>2495000</v>
      </c>
      <c r="K212" s="266"/>
      <c r="L212" s="266"/>
      <c r="M212" s="266"/>
      <c r="N212" s="266"/>
      <c r="O212" s="266"/>
      <c r="P212" s="241">
        <f>SUM(J212:O212)</f>
        <v>2495000</v>
      </c>
      <c r="R212" s="266">
        <v>0</v>
      </c>
      <c r="S212" s="266"/>
      <c r="T212" s="266"/>
      <c r="U212" s="266"/>
      <c r="V212" s="266"/>
      <c r="W212" s="266"/>
      <c r="X212" s="241">
        <f>SUM(R212:W212)</f>
        <v>0</v>
      </c>
      <c r="Z212" s="266">
        <v>0</v>
      </c>
      <c r="AA212" s="266"/>
      <c r="AB212" s="266"/>
      <c r="AC212" s="266"/>
      <c r="AD212" s="266"/>
      <c r="AE212" s="266"/>
      <c r="AF212" s="241">
        <f>SUM(Z212:AE212)</f>
        <v>0</v>
      </c>
      <c r="AH212" s="266">
        <v>3574450</v>
      </c>
      <c r="AI212" s="266"/>
      <c r="AJ212" s="266"/>
      <c r="AK212" s="266"/>
      <c r="AL212" s="266"/>
      <c r="AM212" s="266"/>
      <c r="AN212" s="241">
        <f>SUM(AH212:AM212)</f>
        <v>3574450</v>
      </c>
      <c r="AP212" s="266"/>
      <c r="AQ212" s="266"/>
      <c r="AR212" s="266"/>
      <c r="AS212" s="266"/>
      <c r="AT212" s="266"/>
      <c r="AU212" s="266"/>
      <c r="AV212" s="241">
        <f>SUM(AP212:AU212)</f>
        <v>0</v>
      </c>
      <c r="AX212" s="266">
        <v>0</v>
      </c>
      <c r="AY212" s="266"/>
      <c r="AZ212" s="266"/>
      <c r="BA212" s="266"/>
      <c r="BB212" s="266"/>
      <c r="BC212" s="266"/>
      <c r="BD212" s="241">
        <f>SUM(AX212:BC212)</f>
        <v>0</v>
      </c>
      <c r="BF212" s="266"/>
      <c r="BG212" s="266"/>
      <c r="BH212" s="266"/>
      <c r="BI212" s="266"/>
      <c r="BJ212" s="266"/>
      <c r="BK212" s="266"/>
      <c r="BL212" s="241">
        <f>SUM(BF212:BK212)</f>
        <v>0</v>
      </c>
      <c r="BN212" s="241">
        <f>B212+J212+R212+Z212+AH212+AP212+AX212+BF212</f>
        <v>6069450</v>
      </c>
      <c r="BO212" s="241">
        <f t="shared" ref="BO212:BS215" si="392">C212+K212+S212+AA212+AI212+AQ212+AY212+BG212</f>
        <v>0</v>
      </c>
      <c r="BP212" s="241">
        <f t="shared" si="392"/>
        <v>0</v>
      </c>
      <c r="BQ212" s="241">
        <f t="shared" si="392"/>
        <v>0</v>
      </c>
      <c r="BR212" s="241">
        <f t="shared" si="392"/>
        <v>0</v>
      </c>
      <c r="BS212" s="241">
        <f t="shared" si="392"/>
        <v>0</v>
      </c>
      <c r="BT212" s="241">
        <f>SUM(BN212:BS212)</f>
        <v>6069450</v>
      </c>
    </row>
    <row r="213" spans="1:72" x14ac:dyDescent="0.25">
      <c r="A213" s="216" t="s">
        <v>386</v>
      </c>
      <c r="B213" s="267">
        <v>893352</v>
      </c>
      <c r="C213" s="267"/>
      <c r="D213" s="267"/>
      <c r="E213" s="267"/>
      <c r="F213" s="267"/>
      <c r="G213" s="267"/>
      <c r="H213" s="241">
        <f t="shared" ref="H213:H215" si="393">SUM(B213:G213)</f>
        <v>893352</v>
      </c>
      <c r="J213" s="267">
        <v>0</v>
      </c>
      <c r="K213" s="267"/>
      <c r="L213" s="267"/>
      <c r="M213" s="267"/>
      <c r="N213" s="267"/>
      <c r="O213" s="267"/>
      <c r="P213" s="241">
        <f t="shared" ref="P213:P215" si="394">SUM(J213:O213)</f>
        <v>0</v>
      </c>
      <c r="R213" s="267">
        <v>1011156</v>
      </c>
      <c r="S213" s="267"/>
      <c r="T213" s="267"/>
      <c r="U213" s="267"/>
      <c r="V213" s="267"/>
      <c r="W213" s="267"/>
      <c r="X213" s="241">
        <f t="shared" ref="X213:X215" si="395">SUM(R213:W213)</f>
        <v>1011156</v>
      </c>
      <c r="Z213" s="267">
        <v>1162339</v>
      </c>
      <c r="AA213" s="267"/>
      <c r="AB213" s="267"/>
      <c r="AC213" s="267"/>
      <c r="AD213" s="267"/>
      <c r="AE213" s="267"/>
      <c r="AF213" s="241">
        <f t="shared" ref="AF213:AF215" si="396">SUM(Z213:AE213)</f>
        <v>1162339</v>
      </c>
      <c r="AH213" s="267"/>
      <c r="AI213" s="267"/>
      <c r="AJ213" s="267"/>
      <c r="AK213" s="267"/>
      <c r="AL213" s="267"/>
      <c r="AM213" s="267"/>
      <c r="AN213" s="241">
        <f t="shared" ref="AN213:AN215" si="397">SUM(AH213:AM213)</f>
        <v>0</v>
      </c>
      <c r="AP213" s="267"/>
      <c r="AQ213" s="267"/>
      <c r="AR213" s="267"/>
      <c r="AS213" s="267"/>
      <c r="AT213" s="267"/>
      <c r="AU213" s="267"/>
      <c r="AV213" s="241">
        <f t="shared" ref="AV213:AV215" si="398">SUM(AP213:AU213)</f>
        <v>0</v>
      </c>
      <c r="AX213" s="267"/>
      <c r="AY213" s="267"/>
      <c r="AZ213" s="267"/>
      <c r="BA213" s="267"/>
      <c r="BB213" s="267"/>
      <c r="BC213" s="267"/>
      <c r="BD213" s="241">
        <f t="shared" ref="BD213:BD215" si="399">SUM(AX213:BC213)</f>
        <v>0</v>
      </c>
      <c r="BF213" s="267"/>
      <c r="BG213" s="267"/>
      <c r="BH213" s="267"/>
      <c r="BI213" s="267"/>
      <c r="BJ213" s="267"/>
      <c r="BK213" s="267"/>
      <c r="BL213" s="241">
        <f t="shared" ref="BL213:BL215" si="400">SUM(BF213:BK213)</f>
        <v>0</v>
      </c>
      <c r="BN213" s="241">
        <f t="shared" ref="BN213:BN215" si="401">B213+J213+R213+Z213+AH213+AP213+AX213+BF213</f>
        <v>3066847</v>
      </c>
      <c r="BO213" s="241">
        <f t="shared" si="392"/>
        <v>0</v>
      </c>
      <c r="BP213" s="241">
        <f t="shared" si="392"/>
        <v>0</v>
      </c>
      <c r="BQ213" s="241">
        <f t="shared" si="392"/>
        <v>0</v>
      </c>
      <c r="BR213" s="241">
        <f t="shared" si="392"/>
        <v>0</v>
      </c>
      <c r="BS213" s="241">
        <f t="shared" si="392"/>
        <v>0</v>
      </c>
      <c r="BT213" s="241">
        <f t="shared" ref="BT213:BT215" si="402">SUM(BN213:BS213)</f>
        <v>3066847</v>
      </c>
    </row>
    <row r="214" spans="1:72" x14ac:dyDescent="0.25">
      <c r="A214" s="216" t="s">
        <v>386</v>
      </c>
      <c r="B214" s="267"/>
      <c r="C214" s="267"/>
      <c r="D214" s="267"/>
      <c r="E214" s="267"/>
      <c r="F214" s="267"/>
      <c r="G214" s="267"/>
      <c r="H214" s="241">
        <f t="shared" si="393"/>
        <v>0</v>
      </c>
      <c r="J214" s="267">
        <v>0</v>
      </c>
      <c r="K214" s="267"/>
      <c r="L214" s="267"/>
      <c r="M214" s="267"/>
      <c r="N214" s="267"/>
      <c r="O214" s="267"/>
      <c r="P214" s="241">
        <f t="shared" si="394"/>
        <v>0</v>
      </c>
      <c r="R214" s="267">
        <v>0</v>
      </c>
      <c r="S214" s="267"/>
      <c r="T214" s="267"/>
      <c r="U214" s="267"/>
      <c r="V214" s="267"/>
      <c r="W214" s="267"/>
      <c r="X214" s="241">
        <f t="shared" si="395"/>
        <v>0</v>
      </c>
      <c r="Z214" s="267"/>
      <c r="AA214" s="267"/>
      <c r="AB214" s="267"/>
      <c r="AC214" s="267"/>
      <c r="AD214" s="267"/>
      <c r="AE214" s="267"/>
      <c r="AF214" s="241">
        <f t="shared" si="396"/>
        <v>0</v>
      </c>
      <c r="AH214" s="267"/>
      <c r="AI214" s="267"/>
      <c r="AJ214" s="267"/>
      <c r="AK214" s="267"/>
      <c r="AL214" s="267"/>
      <c r="AM214" s="267"/>
      <c r="AN214" s="241">
        <f t="shared" si="397"/>
        <v>0</v>
      </c>
      <c r="AP214" s="267">
        <v>1875000</v>
      </c>
      <c r="AQ214" s="267"/>
      <c r="AR214" s="267"/>
      <c r="AS214" s="267"/>
      <c r="AT214" s="267"/>
      <c r="AU214" s="267"/>
      <c r="AV214" s="241">
        <f t="shared" si="398"/>
        <v>1875000</v>
      </c>
      <c r="AX214" s="267"/>
      <c r="AY214" s="267"/>
      <c r="AZ214" s="267"/>
      <c r="BA214" s="267"/>
      <c r="BB214" s="267"/>
      <c r="BC214" s="267"/>
      <c r="BD214" s="241">
        <f t="shared" si="399"/>
        <v>0</v>
      </c>
      <c r="BF214" s="267"/>
      <c r="BG214" s="267"/>
      <c r="BH214" s="267"/>
      <c r="BI214" s="267"/>
      <c r="BJ214" s="267"/>
      <c r="BK214" s="267"/>
      <c r="BL214" s="241">
        <f t="shared" si="400"/>
        <v>0</v>
      </c>
      <c r="BN214" s="241">
        <f t="shared" si="401"/>
        <v>1875000</v>
      </c>
      <c r="BO214" s="241">
        <f t="shared" si="392"/>
        <v>0</v>
      </c>
      <c r="BP214" s="241">
        <f t="shared" si="392"/>
        <v>0</v>
      </c>
      <c r="BQ214" s="241">
        <f t="shared" si="392"/>
        <v>0</v>
      </c>
      <c r="BR214" s="241">
        <f t="shared" si="392"/>
        <v>0</v>
      </c>
      <c r="BS214" s="241">
        <f t="shared" si="392"/>
        <v>0</v>
      </c>
      <c r="BT214" s="241">
        <f t="shared" si="402"/>
        <v>1875000</v>
      </c>
    </row>
    <row r="215" spans="1:72" x14ac:dyDescent="0.25">
      <c r="A215" s="217" t="s">
        <v>307</v>
      </c>
      <c r="B215" s="268"/>
      <c r="C215" s="268"/>
      <c r="D215" s="268"/>
      <c r="E215" s="268"/>
      <c r="F215" s="268"/>
      <c r="G215" s="268"/>
      <c r="H215" s="241">
        <f t="shared" si="393"/>
        <v>0</v>
      </c>
      <c r="J215" s="268">
        <v>0</v>
      </c>
      <c r="K215" s="268"/>
      <c r="L215" s="268"/>
      <c r="M215" s="268"/>
      <c r="N215" s="268"/>
      <c r="O215" s="268"/>
      <c r="P215" s="241">
        <f t="shared" si="394"/>
        <v>0</v>
      </c>
      <c r="R215" s="268">
        <v>0</v>
      </c>
      <c r="S215" s="268"/>
      <c r="T215" s="268"/>
      <c r="U215" s="268"/>
      <c r="V215" s="268"/>
      <c r="W215" s="268"/>
      <c r="X215" s="241">
        <f t="shared" si="395"/>
        <v>0</v>
      </c>
      <c r="Z215" s="268">
        <v>0</v>
      </c>
      <c r="AA215" s="268"/>
      <c r="AB215" s="268"/>
      <c r="AC215" s="268"/>
      <c r="AD215" s="268"/>
      <c r="AE215" s="268"/>
      <c r="AF215" s="241">
        <f t="shared" si="396"/>
        <v>0</v>
      </c>
      <c r="AH215" s="268"/>
      <c r="AI215" s="268"/>
      <c r="AJ215" s="268"/>
      <c r="AK215" s="268"/>
      <c r="AL215" s="268"/>
      <c r="AM215" s="268"/>
      <c r="AN215" s="241">
        <f t="shared" si="397"/>
        <v>0</v>
      </c>
      <c r="AP215" s="268"/>
      <c r="AQ215" s="268"/>
      <c r="AR215" s="268"/>
      <c r="AS215" s="268"/>
      <c r="AT215" s="268"/>
      <c r="AU215" s="268"/>
      <c r="AV215" s="241">
        <f t="shared" si="398"/>
        <v>0</v>
      </c>
      <c r="AX215" s="268"/>
      <c r="AY215" s="268"/>
      <c r="AZ215" s="268"/>
      <c r="BA215" s="268"/>
      <c r="BB215" s="268"/>
      <c r="BC215" s="268"/>
      <c r="BD215" s="241">
        <f t="shared" si="399"/>
        <v>0</v>
      </c>
      <c r="BF215" s="268"/>
      <c r="BG215" s="268"/>
      <c r="BH215" s="268"/>
      <c r="BI215" s="268"/>
      <c r="BJ215" s="268"/>
      <c r="BK215" s="268"/>
      <c r="BL215" s="241">
        <f t="shared" si="400"/>
        <v>0</v>
      </c>
      <c r="BN215" s="241">
        <f t="shared" si="401"/>
        <v>0</v>
      </c>
      <c r="BO215" s="241">
        <f t="shared" si="392"/>
        <v>0</v>
      </c>
      <c r="BP215" s="241">
        <f t="shared" si="392"/>
        <v>0</v>
      </c>
      <c r="BQ215" s="241">
        <f t="shared" si="392"/>
        <v>0</v>
      </c>
      <c r="BR215" s="241">
        <f t="shared" si="392"/>
        <v>0</v>
      </c>
      <c r="BS215" s="241">
        <f t="shared" si="392"/>
        <v>0</v>
      </c>
      <c r="BT215" s="241">
        <f t="shared" si="402"/>
        <v>0</v>
      </c>
    </row>
    <row r="216" spans="1:72" x14ac:dyDescent="0.25">
      <c r="A216" s="207"/>
      <c r="B216" s="258">
        <f>SUM(B212:B215)</f>
        <v>893352</v>
      </c>
      <c r="C216" s="258">
        <f t="shared" ref="C216:H216" si="403">SUM(C212:C215)</f>
        <v>0</v>
      </c>
      <c r="D216" s="258">
        <f t="shared" si="403"/>
        <v>0</v>
      </c>
      <c r="E216" s="258">
        <f t="shared" si="403"/>
        <v>0</v>
      </c>
      <c r="F216" s="258">
        <f t="shared" si="403"/>
        <v>0</v>
      </c>
      <c r="G216" s="258">
        <f t="shared" si="403"/>
        <v>0</v>
      </c>
      <c r="H216" s="258">
        <f t="shared" si="403"/>
        <v>893352</v>
      </c>
      <c r="J216" s="258">
        <f>SUM(J212:J215)</f>
        <v>2495000</v>
      </c>
      <c r="K216" s="258">
        <f t="shared" ref="K216:P216" si="404">SUM(K212:K215)</f>
        <v>0</v>
      </c>
      <c r="L216" s="258">
        <f t="shared" si="404"/>
        <v>0</v>
      </c>
      <c r="M216" s="258">
        <f t="shared" si="404"/>
        <v>0</v>
      </c>
      <c r="N216" s="258">
        <f t="shared" si="404"/>
        <v>0</v>
      </c>
      <c r="O216" s="258">
        <f t="shared" si="404"/>
        <v>0</v>
      </c>
      <c r="P216" s="258">
        <f t="shared" si="404"/>
        <v>2495000</v>
      </c>
      <c r="R216" s="258">
        <f>SUM(R212:R215)</f>
        <v>1011156</v>
      </c>
      <c r="S216" s="258">
        <f t="shared" ref="S216:X216" si="405">SUM(S212:S215)</f>
        <v>0</v>
      </c>
      <c r="T216" s="258">
        <f t="shared" si="405"/>
        <v>0</v>
      </c>
      <c r="U216" s="258">
        <f t="shared" si="405"/>
        <v>0</v>
      </c>
      <c r="V216" s="258">
        <f t="shared" si="405"/>
        <v>0</v>
      </c>
      <c r="W216" s="258">
        <f t="shared" si="405"/>
        <v>0</v>
      </c>
      <c r="X216" s="258">
        <f t="shared" si="405"/>
        <v>1011156</v>
      </c>
      <c r="Z216" s="258">
        <f>SUM(Z212:Z215)</f>
        <v>1162339</v>
      </c>
      <c r="AA216" s="258">
        <f t="shared" ref="AA216:AF216" si="406">SUM(AA212:AA215)</f>
        <v>0</v>
      </c>
      <c r="AB216" s="258">
        <f t="shared" si="406"/>
        <v>0</v>
      </c>
      <c r="AC216" s="258">
        <f t="shared" si="406"/>
        <v>0</v>
      </c>
      <c r="AD216" s="258">
        <f t="shared" si="406"/>
        <v>0</v>
      </c>
      <c r="AE216" s="258">
        <f t="shared" si="406"/>
        <v>0</v>
      </c>
      <c r="AF216" s="258">
        <f t="shared" si="406"/>
        <v>1162339</v>
      </c>
      <c r="AH216" s="258">
        <f>SUM(AH212:AH215)</f>
        <v>3574450</v>
      </c>
      <c r="AI216" s="258">
        <f t="shared" ref="AI216:AN216" si="407">SUM(AI212:AI215)</f>
        <v>0</v>
      </c>
      <c r="AJ216" s="258">
        <f t="shared" si="407"/>
        <v>0</v>
      </c>
      <c r="AK216" s="258">
        <f t="shared" si="407"/>
        <v>0</v>
      </c>
      <c r="AL216" s="258">
        <f t="shared" si="407"/>
        <v>0</v>
      </c>
      <c r="AM216" s="258">
        <f t="shared" si="407"/>
        <v>0</v>
      </c>
      <c r="AN216" s="258">
        <f t="shared" si="407"/>
        <v>3574450</v>
      </c>
      <c r="AP216" s="258">
        <f>SUM(AP212:AP215)</f>
        <v>1875000</v>
      </c>
      <c r="AQ216" s="258">
        <f t="shared" ref="AQ216:AV216" si="408">SUM(AQ212:AQ215)</f>
        <v>0</v>
      </c>
      <c r="AR216" s="258">
        <f t="shared" si="408"/>
        <v>0</v>
      </c>
      <c r="AS216" s="258">
        <f t="shared" si="408"/>
        <v>0</v>
      </c>
      <c r="AT216" s="258">
        <f t="shared" si="408"/>
        <v>0</v>
      </c>
      <c r="AU216" s="258">
        <f t="shared" si="408"/>
        <v>0</v>
      </c>
      <c r="AV216" s="258">
        <f t="shared" si="408"/>
        <v>1875000</v>
      </c>
      <c r="AX216" s="258">
        <f>SUM(AX212:AX215)</f>
        <v>0</v>
      </c>
      <c r="AY216" s="258">
        <f t="shared" ref="AY216:BD216" si="409">SUM(AY212:AY215)</f>
        <v>0</v>
      </c>
      <c r="AZ216" s="258">
        <f t="shared" si="409"/>
        <v>0</v>
      </c>
      <c r="BA216" s="258">
        <f t="shared" si="409"/>
        <v>0</v>
      </c>
      <c r="BB216" s="258">
        <f t="shared" si="409"/>
        <v>0</v>
      </c>
      <c r="BC216" s="258">
        <f t="shared" si="409"/>
        <v>0</v>
      </c>
      <c r="BD216" s="258">
        <f t="shared" si="409"/>
        <v>0</v>
      </c>
      <c r="BF216" s="258">
        <f>SUM(BF212:BF215)</f>
        <v>0</v>
      </c>
      <c r="BG216" s="258">
        <f t="shared" ref="BG216:BL216" si="410">SUM(BG212:BG215)</f>
        <v>0</v>
      </c>
      <c r="BH216" s="258">
        <f t="shared" si="410"/>
        <v>0</v>
      </c>
      <c r="BI216" s="258">
        <f t="shared" si="410"/>
        <v>0</v>
      </c>
      <c r="BJ216" s="258">
        <f t="shared" si="410"/>
        <v>0</v>
      </c>
      <c r="BK216" s="258">
        <f t="shared" si="410"/>
        <v>0</v>
      </c>
      <c r="BL216" s="258">
        <f t="shared" si="410"/>
        <v>0</v>
      </c>
      <c r="BN216" s="258">
        <f>SUM(BN212:BN215)</f>
        <v>11011297</v>
      </c>
      <c r="BO216" s="258">
        <f t="shared" ref="BO216:BT216" si="411">SUM(BO212:BO215)</f>
        <v>0</v>
      </c>
      <c r="BP216" s="258">
        <f t="shared" si="411"/>
        <v>0</v>
      </c>
      <c r="BQ216" s="258">
        <f t="shared" si="411"/>
        <v>0</v>
      </c>
      <c r="BR216" s="258">
        <f t="shared" si="411"/>
        <v>0</v>
      </c>
      <c r="BS216" s="258">
        <f t="shared" si="411"/>
        <v>0</v>
      </c>
      <c r="BT216" s="258">
        <f t="shared" si="411"/>
        <v>11011297</v>
      </c>
    </row>
    <row r="217" spans="1:72" ht="16.5" thickBot="1" x14ac:dyDescent="0.3">
      <c r="B217" s="259"/>
      <c r="C217" s="259"/>
      <c r="D217" s="259"/>
      <c r="E217" s="259"/>
      <c r="F217" s="259"/>
      <c r="G217" s="259"/>
      <c r="H217" s="259"/>
      <c r="J217" s="259"/>
      <c r="K217" s="259"/>
      <c r="L217" s="259"/>
      <c r="M217" s="259"/>
      <c r="N217" s="259"/>
      <c r="O217" s="259"/>
      <c r="P217" s="259"/>
      <c r="R217" s="259"/>
      <c r="S217" s="259"/>
      <c r="T217" s="259"/>
      <c r="U217" s="259"/>
      <c r="V217" s="259"/>
      <c r="W217" s="259"/>
      <c r="X217" s="259"/>
      <c r="Z217" s="259"/>
      <c r="AA217" s="259"/>
      <c r="AB217" s="259"/>
      <c r="AC217" s="259"/>
      <c r="AD217" s="259"/>
      <c r="AE217" s="259"/>
      <c r="AF217" s="259"/>
      <c r="AH217" s="259"/>
      <c r="AI217" s="259"/>
      <c r="AJ217" s="259"/>
      <c r="AK217" s="259"/>
      <c r="AL217" s="259"/>
      <c r="AM217" s="259"/>
      <c r="AN217" s="259"/>
      <c r="AP217" s="259"/>
      <c r="AQ217" s="259"/>
      <c r="AR217" s="259"/>
      <c r="AS217" s="259"/>
      <c r="AT217" s="259"/>
      <c r="AU217" s="259"/>
      <c r="AV217" s="259"/>
      <c r="AX217" s="259"/>
      <c r="AY217" s="259"/>
      <c r="AZ217" s="259"/>
      <c r="BA217" s="259"/>
      <c r="BB217" s="259"/>
      <c r="BC217" s="259"/>
      <c r="BD217" s="259"/>
      <c r="BF217" s="259"/>
      <c r="BG217" s="259"/>
      <c r="BH217" s="259"/>
      <c r="BI217" s="259"/>
      <c r="BJ217" s="259"/>
      <c r="BK217" s="259"/>
      <c r="BL217" s="259"/>
      <c r="BN217" s="259"/>
      <c r="BO217" s="259"/>
      <c r="BP217" s="259"/>
      <c r="BQ217" s="259"/>
      <c r="BR217" s="259"/>
      <c r="BS217" s="259"/>
      <c r="BT217" s="259"/>
    </row>
    <row r="218" spans="1:72" ht="16.5" thickBot="1" x14ac:dyDescent="0.3">
      <c r="A218" s="218" t="s">
        <v>340</v>
      </c>
      <c r="B218" s="269">
        <f t="shared" ref="B218:H218" si="412">(B82+B88)-(B216+B209)</f>
        <v>842544.20017820783</v>
      </c>
      <c r="C218" s="269">
        <f t="shared" si="412"/>
        <v>-774063.57309065619</v>
      </c>
      <c r="D218" s="269">
        <f t="shared" si="412"/>
        <v>-59437.179999999993</v>
      </c>
      <c r="E218" s="269">
        <f t="shared" si="412"/>
        <v>0</v>
      </c>
      <c r="F218" s="269">
        <f t="shared" si="412"/>
        <v>-7924.75</v>
      </c>
      <c r="G218" s="269">
        <f t="shared" si="412"/>
        <v>0</v>
      </c>
      <c r="H218" s="269">
        <f t="shared" si="412"/>
        <v>1118.6970875523984</v>
      </c>
      <c r="J218" s="269">
        <f t="shared" ref="J218:P218" si="413">(J82+J88)-(J216+J209)</f>
        <v>1389949.6615872011</v>
      </c>
      <c r="K218" s="269">
        <f t="shared" si="413"/>
        <v>-1150724.0800103778</v>
      </c>
      <c r="L218" s="269">
        <f t="shared" si="413"/>
        <v>-186172.27500000002</v>
      </c>
      <c r="M218" s="269">
        <f t="shared" si="413"/>
        <v>0</v>
      </c>
      <c r="N218" s="269">
        <f t="shared" si="413"/>
        <v>0</v>
      </c>
      <c r="O218" s="269">
        <f t="shared" si="413"/>
        <v>0</v>
      </c>
      <c r="P218" s="269">
        <f t="shared" si="413"/>
        <v>53053.306576825678</v>
      </c>
      <c r="R218" s="269">
        <f t="shared" ref="R218:X218" si="414">(R82+R88)-(R216+R209)</f>
        <v>635136.71599606238</v>
      </c>
      <c r="S218" s="269">
        <f t="shared" si="414"/>
        <v>-501312.7097703726</v>
      </c>
      <c r="T218" s="269">
        <f t="shared" si="414"/>
        <v>-79688.274999999994</v>
      </c>
      <c r="U218" s="269">
        <f t="shared" si="414"/>
        <v>0</v>
      </c>
      <c r="V218" s="269">
        <f t="shared" si="414"/>
        <v>0</v>
      </c>
      <c r="W218" s="269">
        <f t="shared" si="414"/>
        <v>0</v>
      </c>
      <c r="X218" s="269">
        <f t="shared" si="414"/>
        <v>54135.731225689873</v>
      </c>
      <c r="Z218" s="269">
        <f t="shared" ref="Z218:AF218" si="415">(Z82+Z88)-(Z216+Z209)</f>
        <v>518331.62314114533</v>
      </c>
      <c r="AA218" s="269">
        <f t="shared" si="415"/>
        <v>-548903.73936227197</v>
      </c>
      <c r="AB218" s="269">
        <f t="shared" si="415"/>
        <v>-79359.94</v>
      </c>
      <c r="AC218" s="269">
        <f t="shared" si="415"/>
        <v>0</v>
      </c>
      <c r="AD218" s="269">
        <f t="shared" si="415"/>
        <v>0</v>
      </c>
      <c r="AE218" s="269">
        <f t="shared" si="415"/>
        <v>0</v>
      </c>
      <c r="AF218" s="269">
        <f t="shared" si="415"/>
        <v>-109932.05622112751</v>
      </c>
      <c r="AH218" s="269">
        <f t="shared" ref="AH218:AN218" si="416">(AH82+AH88)-(AH216+AH209)</f>
        <v>1439916.5338528827</v>
      </c>
      <c r="AI218" s="269">
        <f t="shared" si="416"/>
        <v>-1290574.5736375777</v>
      </c>
      <c r="AJ218" s="269">
        <f t="shared" si="416"/>
        <v>-109192.34000000005</v>
      </c>
      <c r="AK218" s="269">
        <f t="shared" si="416"/>
        <v>0</v>
      </c>
      <c r="AL218" s="269">
        <f t="shared" si="416"/>
        <v>0</v>
      </c>
      <c r="AM218" s="269">
        <f t="shared" si="416"/>
        <v>0</v>
      </c>
      <c r="AN218" s="269">
        <f t="shared" si="416"/>
        <v>40149.620215304196</v>
      </c>
      <c r="AP218" s="269">
        <f t="shared" ref="AP218:AV218" si="417">(AP82+AP88)-(AP216+AP209)</f>
        <v>730049.35029161721</v>
      </c>
      <c r="AQ218" s="269">
        <f t="shared" si="417"/>
        <v>-567590.59332437487</v>
      </c>
      <c r="AR218" s="269">
        <f t="shared" si="417"/>
        <v>-11310.079999999958</v>
      </c>
      <c r="AS218" s="269">
        <f t="shared" si="417"/>
        <v>0</v>
      </c>
      <c r="AT218" s="269">
        <f t="shared" si="417"/>
        <v>-70643.653785750008</v>
      </c>
      <c r="AU218" s="269">
        <f t="shared" si="417"/>
        <v>0</v>
      </c>
      <c r="AV218" s="269">
        <f t="shared" si="417"/>
        <v>80505.0231814906</v>
      </c>
      <c r="AX218" s="269">
        <f t="shared" ref="AX218:BD218" si="418">(AX82+AX88)-(AX216+AX209)</f>
        <v>301779.19294541795</v>
      </c>
      <c r="AY218" s="269">
        <f t="shared" si="418"/>
        <v>-145912.46527897503</v>
      </c>
      <c r="AZ218" s="269">
        <f t="shared" si="418"/>
        <v>0</v>
      </c>
      <c r="BA218" s="269">
        <f t="shared" si="418"/>
        <v>0</v>
      </c>
      <c r="BB218" s="269">
        <f t="shared" si="418"/>
        <v>-18324.455862002433</v>
      </c>
      <c r="BC218" s="269">
        <f t="shared" si="418"/>
        <v>0</v>
      </c>
      <c r="BD218" s="269">
        <f t="shared" si="418"/>
        <v>137542.27180444053</v>
      </c>
      <c r="BF218" s="269">
        <f t="shared" ref="BF218:BL218" si="419">(BF82+BF88)-(BF216+BF209)</f>
        <v>75959.240296231117</v>
      </c>
      <c r="BG218" s="269">
        <f t="shared" si="419"/>
        <v>0</v>
      </c>
      <c r="BH218" s="269">
        <f t="shared" si="419"/>
        <v>-40149.25</v>
      </c>
      <c r="BI218" s="269">
        <f t="shared" si="419"/>
        <v>0</v>
      </c>
      <c r="BJ218" s="269">
        <f t="shared" si="419"/>
        <v>-42756.739422812476</v>
      </c>
      <c r="BK218" s="269">
        <f t="shared" si="419"/>
        <v>0</v>
      </c>
      <c r="BL218" s="269">
        <f t="shared" si="419"/>
        <v>-6946.7491265812423</v>
      </c>
      <c r="BN218" s="269">
        <f t="shared" ref="BN218:BT218" si="420">(BN82+BN88)-(BN216+BN209)</f>
        <v>5933666.5182887465</v>
      </c>
      <c r="BO218" s="269">
        <f t="shared" si="420"/>
        <v>-4979081.7344746068</v>
      </c>
      <c r="BP218" s="269">
        <f t="shared" si="420"/>
        <v>-565309.34000000008</v>
      </c>
      <c r="BQ218" s="269">
        <f t="shared" si="420"/>
        <v>0</v>
      </c>
      <c r="BR218" s="269">
        <f t="shared" si="420"/>
        <v>-139649.59907056484</v>
      </c>
      <c r="BS218" s="269">
        <f t="shared" si="420"/>
        <v>0</v>
      </c>
      <c r="BT218" s="269">
        <f t="shared" si="420"/>
        <v>249625.84474357963</v>
      </c>
    </row>
    <row r="219" spans="1:72" x14ac:dyDescent="0.25">
      <c r="B219" s="259"/>
      <c r="C219" s="259"/>
      <c r="D219" s="259"/>
      <c r="E219" s="259"/>
      <c r="F219" s="259"/>
      <c r="G219" s="259"/>
      <c r="H219" s="270">
        <f>H218/(H68+H69+H70)</f>
        <v>1.1905987763762945E-4</v>
      </c>
      <c r="J219" s="259"/>
      <c r="K219" s="259"/>
      <c r="L219" s="259"/>
      <c r="M219" s="259"/>
      <c r="N219" s="259"/>
      <c r="O219" s="259"/>
      <c r="P219" s="270">
        <f>P218/(P68+P69+P70)</f>
        <v>2.1034210705974206E-3</v>
      </c>
      <c r="R219" s="259"/>
      <c r="S219" s="259"/>
      <c r="T219" s="259"/>
      <c r="U219" s="259"/>
      <c r="V219" s="259"/>
      <c r="W219" s="259"/>
      <c r="X219" s="270">
        <f>X218/(X68+X69+X70)</f>
        <v>5.2049588907246329E-3</v>
      </c>
      <c r="Z219" s="259"/>
      <c r="AA219" s="259"/>
      <c r="AB219" s="259"/>
      <c r="AC219" s="259"/>
      <c r="AD219" s="259"/>
      <c r="AE219" s="259"/>
      <c r="AF219" s="270">
        <f>AF218/(AF68+AF69+AF70)</f>
        <v>-9.0551962263879862E-3</v>
      </c>
      <c r="AH219" s="259"/>
      <c r="AI219" s="259"/>
      <c r="AJ219" s="259"/>
      <c r="AK219" s="259"/>
      <c r="AL219" s="259"/>
      <c r="AM219" s="259"/>
      <c r="AN219" s="270">
        <f>AN218/(AN68+AN69+AN70)</f>
        <v>1.5933104067211983E-3</v>
      </c>
      <c r="AP219" s="259"/>
      <c r="AQ219" s="259"/>
      <c r="AR219" s="259"/>
      <c r="AS219" s="259"/>
      <c r="AT219" s="259"/>
      <c r="AU219" s="259"/>
      <c r="AV219" s="270">
        <f>AV218/(AV68+AV69+AV70)</f>
        <v>8.6062049732733188E-3</v>
      </c>
      <c r="AX219" s="259"/>
      <c r="AY219" s="259"/>
      <c r="AZ219" s="259"/>
      <c r="BA219" s="259"/>
      <c r="BB219" s="259"/>
      <c r="BC219" s="259"/>
      <c r="BD219" s="270">
        <f>BD218/(BD68+BD69+BD70)</f>
        <v>7.5769093619856606E-2</v>
      </c>
      <c r="BF219" s="259"/>
      <c r="BG219" s="259"/>
      <c r="BH219" s="259"/>
      <c r="BI219" s="259"/>
      <c r="BJ219" s="259"/>
      <c r="BK219" s="259"/>
      <c r="BL219" s="270" t="e">
        <f>BL218/(BL68+BL69+BL70)</f>
        <v>#DIV/0!</v>
      </c>
      <c r="BN219" s="259"/>
      <c r="BO219" s="259"/>
      <c r="BP219" s="259"/>
      <c r="BQ219" s="259"/>
      <c r="BR219" s="259"/>
      <c r="BS219" s="259"/>
      <c r="BT219" s="270">
        <f>BT218/(BT68+BT69+BT70)</f>
        <v>2.6689974004516213E-3</v>
      </c>
    </row>
    <row r="220" spans="1:72" x14ac:dyDescent="0.25">
      <c r="A220" s="219" t="str">
        <f>A1</f>
        <v>Pinecrest Academy - FY30</v>
      </c>
      <c r="B220" s="271" t="str">
        <f t="shared" ref="B220:H220" si="421">B20</f>
        <v>Operating</v>
      </c>
      <c r="C220" s="271" t="str">
        <f t="shared" si="421"/>
        <v>SPED</v>
      </c>
      <c r="D220" s="271" t="str">
        <f t="shared" si="421"/>
        <v>NSLP</v>
      </c>
      <c r="E220" s="271" t="str">
        <f t="shared" si="421"/>
        <v>Other</v>
      </c>
      <c r="F220" s="271" t="str">
        <f t="shared" si="421"/>
        <v>Titles/Grants</v>
      </c>
      <c r="G220" s="271" t="str">
        <f t="shared" si="421"/>
        <v>SGF</v>
      </c>
      <c r="H220" s="271" t="str">
        <f t="shared" si="421"/>
        <v>Horizon</v>
      </c>
      <c r="J220" s="271" t="str">
        <f t="shared" ref="J220:P220" si="422">J20</f>
        <v>Operating</v>
      </c>
      <c r="K220" s="271" t="str">
        <f t="shared" si="422"/>
        <v>SPED</v>
      </c>
      <c r="L220" s="271" t="str">
        <f t="shared" si="422"/>
        <v>NSLP</v>
      </c>
      <c r="M220" s="271" t="str">
        <f t="shared" si="422"/>
        <v>Other</v>
      </c>
      <c r="N220" s="271" t="str">
        <f t="shared" si="422"/>
        <v>Titles/Grants</v>
      </c>
      <c r="O220" s="271" t="str">
        <f t="shared" si="422"/>
        <v>SGF</v>
      </c>
      <c r="P220" s="271" t="str">
        <f t="shared" si="422"/>
        <v>Cadence</v>
      </c>
      <c r="R220" s="271" t="str">
        <f t="shared" ref="R220:X220" si="423">R20</f>
        <v>Operating</v>
      </c>
      <c r="S220" s="271" t="str">
        <f t="shared" si="423"/>
        <v>SPED</v>
      </c>
      <c r="T220" s="271" t="str">
        <f t="shared" si="423"/>
        <v>NSLP</v>
      </c>
      <c r="U220" s="271" t="str">
        <f t="shared" si="423"/>
        <v>Other</v>
      </c>
      <c r="V220" s="271" t="str">
        <f t="shared" si="423"/>
        <v>Titles/Grants</v>
      </c>
      <c r="W220" s="271" t="str">
        <f t="shared" si="423"/>
        <v>SGF</v>
      </c>
      <c r="X220" s="271" t="str">
        <f t="shared" si="423"/>
        <v>St. Rose</v>
      </c>
      <c r="Z220" s="271" t="str">
        <f t="shared" ref="Z220:AF220" si="424">Z20</f>
        <v>Operating</v>
      </c>
      <c r="AA220" s="271" t="str">
        <f t="shared" si="424"/>
        <v>SPED</v>
      </c>
      <c r="AB220" s="271" t="str">
        <f t="shared" si="424"/>
        <v>NSLP</v>
      </c>
      <c r="AC220" s="271" t="str">
        <f t="shared" si="424"/>
        <v>Other</v>
      </c>
      <c r="AD220" s="271" t="str">
        <f t="shared" si="424"/>
        <v>Titles/Grants</v>
      </c>
      <c r="AE220" s="271" t="str">
        <f t="shared" si="424"/>
        <v>SGF</v>
      </c>
      <c r="AF220" s="271" t="str">
        <f t="shared" si="424"/>
        <v>Inspirada</v>
      </c>
      <c r="AH220" s="271" t="str">
        <f t="shared" ref="AH220:AN220" si="425">AH20</f>
        <v>Operating</v>
      </c>
      <c r="AI220" s="271" t="str">
        <f t="shared" si="425"/>
        <v>SPED</v>
      </c>
      <c r="AJ220" s="271" t="str">
        <f t="shared" si="425"/>
        <v>NSLP</v>
      </c>
      <c r="AK220" s="271" t="str">
        <f t="shared" si="425"/>
        <v>Other</v>
      </c>
      <c r="AL220" s="271" t="str">
        <f t="shared" si="425"/>
        <v>Titles/Grants</v>
      </c>
      <c r="AM220" s="271" t="str">
        <f t="shared" si="425"/>
        <v>SGF</v>
      </c>
      <c r="AN220" s="271" t="str">
        <f t="shared" si="425"/>
        <v>Sloan</v>
      </c>
      <c r="AP220" s="271" t="str">
        <f t="shared" ref="AP220:AV220" si="426">AP20</f>
        <v>Operating</v>
      </c>
      <c r="AQ220" s="271" t="str">
        <f t="shared" si="426"/>
        <v>SPED</v>
      </c>
      <c r="AR220" s="271" t="str">
        <f t="shared" si="426"/>
        <v>NSLP</v>
      </c>
      <c r="AS220" s="271" t="str">
        <f t="shared" si="426"/>
        <v>Other</v>
      </c>
      <c r="AT220" s="271" t="str">
        <f t="shared" si="426"/>
        <v>Titles/Grants</v>
      </c>
      <c r="AU220" s="271" t="str">
        <f t="shared" si="426"/>
        <v>SGF</v>
      </c>
      <c r="AV220" s="271" t="str">
        <f t="shared" si="426"/>
        <v>Springs</v>
      </c>
      <c r="AX220" s="271" t="str">
        <f t="shared" ref="AX220:BD220" si="427">AX20</f>
        <v>Operating</v>
      </c>
      <c r="AY220" s="271" t="str">
        <f t="shared" si="427"/>
        <v>SPED</v>
      </c>
      <c r="AZ220" s="271" t="str">
        <f t="shared" si="427"/>
        <v>NSLP</v>
      </c>
      <c r="BA220" s="271" t="str">
        <f t="shared" si="427"/>
        <v>Other</v>
      </c>
      <c r="BB220" s="271" t="str">
        <f t="shared" si="427"/>
        <v>Titles/Grants</v>
      </c>
      <c r="BC220" s="271" t="str">
        <f t="shared" si="427"/>
        <v>SGF</v>
      </c>
      <c r="BD220" s="271" t="str">
        <f t="shared" si="427"/>
        <v>Virtual</v>
      </c>
      <c r="BF220" s="271" t="str">
        <f t="shared" ref="BF220:BL220" si="428">BF20</f>
        <v>Operating</v>
      </c>
      <c r="BG220" s="271" t="str">
        <f t="shared" si="428"/>
        <v>SPED</v>
      </c>
      <c r="BH220" s="271" t="str">
        <f t="shared" si="428"/>
        <v>NSLP</v>
      </c>
      <c r="BI220" s="271" t="str">
        <f t="shared" si="428"/>
        <v>Other</v>
      </c>
      <c r="BJ220" s="271" t="str">
        <f t="shared" si="428"/>
        <v>Titles/Grants</v>
      </c>
      <c r="BK220" s="271" t="str">
        <f t="shared" si="428"/>
        <v>SGF</v>
      </c>
      <c r="BL220" s="271" t="str">
        <f t="shared" si="428"/>
        <v>Central</v>
      </c>
      <c r="BN220" s="271" t="str">
        <f t="shared" ref="BN220:BT220" si="429">BN20</f>
        <v>Operating</v>
      </c>
      <c r="BO220" s="271" t="str">
        <f t="shared" si="429"/>
        <v>SPED</v>
      </c>
      <c r="BP220" s="271" t="str">
        <f t="shared" si="429"/>
        <v>NSLP</v>
      </c>
      <c r="BQ220" s="271" t="str">
        <f t="shared" si="429"/>
        <v>Other</v>
      </c>
      <c r="BR220" s="271" t="str">
        <f t="shared" si="429"/>
        <v>Titles/Grants</v>
      </c>
      <c r="BS220" s="271" t="str">
        <f t="shared" si="429"/>
        <v>SGF</v>
      </c>
      <c r="BT220" s="271" t="str">
        <f t="shared" si="429"/>
        <v>System</v>
      </c>
    </row>
    <row r="222" spans="1:72" x14ac:dyDescent="0.25">
      <c r="D222" s="225"/>
      <c r="L222" s="225">
        <f>(L80+L81)-(L180+L181)</f>
        <v>88875</v>
      </c>
      <c r="AB222" s="225"/>
      <c r="AR222" s="225"/>
    </row>
    <row r="223" spans="1:72" x14ac:dyDescent="0.25">
      <c r="T223" s="225"/>
      <c r="U223" s="274"/>
      <c r="AJ223" s="225"/>
    </row>
    <row r="224" spans="1:72" x14ac:dyDescent="0.25">
      <c r="U224" s="274"/>
    </row>
    <row r="225" spans="16:40" x14ac:dyDescent="0.25">
      <c r="P225" s="225"/>
      <c r="U225" s="274"/>
    </row>
    <row r="226" spans="16:40" x14ac:dyDescent="0.25">
      <c r="U226" s="274"/>
    </row>
    <row r="227" spans="16:40" x14ac:dyDescent="0.25">
      <c r="U227" s="274"/>
    </row>
    <row r="228" spans="16:40" x14ac:dyDescent="0.25">
      <c r="U228" s="274"/>
    </row>
    <row r="229" spans="16:40" x14ac:dyDescent="0.25">
      <c r="U229" s="274"/>
    </row>
    <row r="230" spans="16:40" x14ac:dyDescent="0.25">
      <c r="U230" s="274"/>
      <c r="AN230" s="225"/>
    </row>
    <row r="231" spans="16:40" x14ac:dyDescent="0.25">
      <c r="U231" s="274"/>
      <c r="AN231" s="225"/>
    </row>
    <row r="232" spans="16:40" x14ac:dyDescent="0.25">
      <c r="U232" s="274"/>
    </row>
    <row r="233" spans="16:40" x14ac:dyDescent="0.25">
      <c r="U233" s="274"/>
    </row>
    <row r="234" spans="16:40" x14ac:dyDescent="0.25">
      <c r="U234" s="274"/>
    </row>
    <row r="244" spans="13:13" x14ac:dyDescent="0.25">
      <c r="M244" s="116">
        <v>9416</v>
      </c>
    </row>
    <row r="245" spans="13:13" x14ac:dyDescent="0.25">
      <c r="M245" s="116">
        <v>30</v>
      </c>
    </row>
    <row r="246" spans="13:13" x14ac:dyDescent="0.25">
      <c r="M246" s="274">
        <f>M244*M245</f>
        <v>282480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2BE8-8F9A-46CE-950F-DCFBB4101119}">
  <dimension ref="A1:BB221"/>
  <sheetViews>
    <sheetView tabSelected="1" view="pageBreakPreview" zoomScale="60" zoomScaleNormal="100" workbookViewId="0">
      <pane xSplit="1" topLeftCell="B1" activePane="topRight" state="frozen"/>
      <selection pane="topRight" sqref="A1:BB219"/>
    </sheetView>
  </sheetViews>
  <sheetFormatPr defaultRowHeight="15.75" x14ac:dyDescent="0.25"/>
  <cols>
    <col min="1" max="1" width="64.140625" style="187" bestFit="1" customWidth="1"/>
    <col min="2" max="6" width="20.85546875" customWidth="1"/>
    <col min="8" max="12" width="20.85546875" customWidth="1"/>
    <col min="14" max="18" width="20.85546875" customWidth="1"/>
    <col min="20" max="24" width="20.85546875" customWidth="1"/>
    <col min="26" max="30" width="20.85546875" customWidth="1"/>
    <col min="32" max="36" width="20.85546875" customWidth="1"/>
    <col min="38" max="42" width="20.85546875" customWidth="1"/>
    <col min="44" max="48" width="20.85546875" customWidth="1"/>
    <col min="50" max="54" width="22.42578125" customWidth="1"/>
  </cols>
  <sheetData>
    <row r="1" spans="1:54" x14ac:dyDescent="0.25">
      <c r="A1" s="181" t="s">
        <v>374</v>
      </c>
    </row>
    <row r="2" spans="1:54" x14ac:dyDescent="0.25">
      <c r="A2" s="182" t="s">
        <v>172</v>
      </c>
      <c r="B2" s="220">
        <f>'FY26'!B2</f>
        <v>9416</v>
      </c>
      <c r="C2" s="220">
        <f>'FY27'!B2</f>
        <v>9486</v>
      </c>
      <c r="D2" s="220">
        <f>'FY28'!B2</f>
        <v>9630</v>
      </c>
      <c r="E2" s="220">
        <f>'FY29'!B2</f>
        <v>9775</v>
      </c>
      <c r="F2" s="220">
        <f>'FY30'!B2</f>
        <v>9925</v>
      </c>
      <c r="H2" s="220">
        <f>'FY26'!J2</f>
        <v>9416</v>
      </c>
      <c r="I2" s="220">
        <f>'FY27'!J2</f>
        <v>9486</v>
      </c>
      <c r="J2" s="220">
        <f>'FY28'!J2</f>
        <v>9630</v>
      </c>
      <c r="K2" s="220">
        <f>'FY29'!J2</f>
        <v>9775</v>
      </c>
      <c r="L2" s="220">
        <f>'FY30'!J2</f>
        <v>9925</v>
      </c>
      <c r="N2" s="220">
        <f>'FY26'!R2</f>
        <v>9416</v>
      </c>
      <c r="O2" s="220">
        <f>'FY27'!R2</f>
        <v>9486</v>
      </c>
      <c r="P2" s="220">
        <f>'FY28'!R2</f>
        <v>9630</v>
      </c>
      <c r="Q2" s="220">
        <f>'FY29'!R2</f>
        <v>9775</v>
      </c>
      <c r="R2" s="220">
        <f>'FY30'!R2</f>
        <v>9925</v>
      </c>
      <c r="T2" s="220">
        <f>'FY26'!Z2</f>
        <v>9416</v>
      </c>
      <c r="U2" s="220">
        <f>'FY27'!Z2</f>
        <v>9486</v>
      </c>
      <c r="V2" s="220">
        <f>'FY28'!Z2</f>
        <v>9630</v>
      </c>
      <c r="W2" s="220">
        <f>'FY29'!Z2</f>
        <v>9775</v>
      </c>
      <c r="X2" s="220">
        <f>'FY30'!Z2</f>
        <v>9925</v>
      </c>
      <c r="Z2" s="220">
        <f>'FY26'!AH2</f>
        <v>9416</v>
      </c>
      <c r="AA2" s="220">
        <f>'FY27'!AH2</f>
        <v>9486</v>
      </c>
      <c r="AB2" s="220">
        <f>'FY28'!AH2</f>
        <v>9630</v>
      </c>
      <c r="AC2" s="220">
        <f>'FY29'!AH2</f>
        <v>9775</v>
      </c>
      <c r="AD2" s="220">
        <f>'FY30'!AH2</f>
        <v>9925</v>
      </c>
      <c r="AF2" s="220">
        <f>'FY26'!AP2</f>
        <v>9416</v>
      </c>
      <c r="AG2" s="220">
        <f>'FY27'!AP2</f>
        <v>9486</v>
      </c>
      <c r="AH2" s="220">
        <f>'FY28'!AP2</f>
        <v>9630</v>
      </c>
      <c r="AI2" s="220">
        <f>'FY29'!AP2</f>
        <v>9775</v>
      </c>
      <c r="AJ2" s="220">
        <f>'FY30'!AP2</f>
        <v>9925</v>
      </c>
      <c r="AL2" s="220">
        <f>'FY26'!AX2</f>
        <v>9416</v>
      </c>
      <c r="AM2" s="220">
        <f>'FY27'!AX2</f>
        <v>9486</v>
      </c>
      <c r="AN2" s="220">
        <f>'FY28'!AX2</f>
        <v>9630</v>
      </c>
      <c r="AO2" s="220">
        <f>'FY29'!AX2</f>
        <v>9775</v>
      </c>
      <c r="AP2" s="220">
        <f>'FY30'!AX2</f>
        <v>9925</v>
      </c>
      <c r="AR2" s="220">
        <f>'FY26'!BF2</f>
        <v>9416</v>
      </c>
      <c r="AS2" s="220">
        <f>'FY27'!BF2</f>
        <v>9486</v>
      </c>
      <c r="AT2" s="220">
        <f>'FY28'!BF2</f>
        <v>9630</v>
      </c>
      <c r="AU2" s="220">
        <f>'FY29'!BF2</f>
        <v>9775</v>
      </c>
      <c r="AV2" s="220">
        <f>'FY30'!BF2</f>
        <v>9925</v>
      </c>
      <c r="AX2" s="220">
        <f>'FY26'!BN2</f>
        <v>9416</v>
      </c>
      <c r="AY2" s="220">
        <f>'FY27'!BN2</f>
        <v>9486</v>
      </c>
      <c r="AZ2" s="220">
        <f>'FY28'!BN2</f>
        <v>9630</v>
      </c>
      <c r="BA2" s="220">
        <f>'FY29'!BN2</f>
        <v>9775</v>
      </c>
      <c r="BB2" s="220">
        <f>'FY30'!BN2</f>
        <v>9925</v>
      </c>
    </row>
    <row r="3" spans="1:54" x14ac:dyDescent="0.25">
      <c r="A3" s="183" t="s">
        <v>75</v>
      </c>
      <c r="B3" s="221">
        <f>'FY26'!B3</f>
        <v>910</v>
      </c>
      <c r="C3" s="221">
        <f>'FY27'!B3</f>
        <v>927</v>
      </c>
      <c r="D3" s="221">
        <f>'FY28'!B3</f>
        <v>927</v>
      </c>
      <c r="E3" s="221">
        <f>'FY29'!B3</f>
        <v>927</v>
      </c>
      <c r="F3" s="221">
        <f>'FY30'!B3</f>
        <v>927</v>
      </c>
      <c r="H3" s="221">
        <f>'FY26'!J3</f>
        <v>2486</v>
      </c>
      <c r="I3" s="221">
        <f>'FY27'!J3</f>
        <v>2514</v>
      </c>
      <c r="J3" s="221">
        <f>'FY28'!J3</f>
        <v>2514</v>
      </c>
      <c r="K3" s="221">
        <f>'FY29'!J3</f>
        <v>2514</v>
      </c>
      <c r="L3" s="221">
        <f>'FY30'!J3</f>
        <v>2514</v>
      </c>
      <c r="N3" s="221">
        <f>'FY26'!R3</f>
        <v>1030</v>
      </c>
      <c r="O3" s="221">
        <f>'FY27'!R3</f>
        <v>1030</v>
      </c>
      <c r="P3" s="221">
        <f>'FY28'!R3</f>
        <v>1030</v>
      </c>
      <c r="Q3" s="221">
        <f>'FY29'!R3</f>
        <v>1030</v>
      </c>
      <c r="R3" s="221">
        <f>'FY30'!R3</f>
        <v>1030</v>
      </c>
      <c r="T3" s="221">
        <f>'FY26'!Z3</f>
        <v>1184</v>
      </c>
      <c r="U3" s="221">
        <f>'FY27'!Z3</f>
        <v>1198</v>
      </c>
      <c r="V3" s="221">
        <f>'FY28'!Z3</f>
        <v>1198</v>
      </c>
      <c r="W3" s="221">
        <f>'FY29'!Z3</f>
        <v>1198</v>
      </c>
      <c r="X3" s="221">
        <f>'FY30'!Z3</f>
        <v>1198</v>
      </c>
      <c r="Z3" s="221">
        <f>'FY26'!AH3</f>
        <v>2416</v>
      </c>
      <c r="AA3" s="221">
        <f>'FY27'!AH3</f>
        <v>2498</v>
      </c>
      <c r="AB3" s="221">
        <f>'FY28'!AH3</f>
        <v>2540</v>
      </c>
      <c r="AC3" s="221">
        <f>'FY29'!AH3</f>
        <v>2508</v>
      </c>
      <c r="AD3" s="221">
        <f>'FY30'!AH3</f>
        <v>2508</v>
      </c>
      <c r="AF3" s="221">
        <f>'FY26'!AP3</f>
        <v>370</v>
      </c>
      <c r="AG3" s="221">
        <f>'FY27'!AP3</f>
        <v>688</v>
      </c>
      <c r="AH3" s="221">
        <f>'FY28'!AP3</f>
        <v>814</v>
      </c>
      <c r="AI3" s="221">
        <f>'FY29'!AP3</f>
        <v>914</v>
      </c>
      <c r="AJ3" s="221">
        <f>'FY30'!AP3</f>
        <v>920</v>
      </c>
      <c r="AL3" s="221">
        <f>'FY26'!AX3</f>
        <v>140</v>
      </c>
      <c r="AM3" s="221">
        <f>'FY27'!AX3</f>
        <v>182</v>
      </c>
      <c r="AN3" s="221">
        <f>'FY28'!AX3</f>
        <v>182</v>
      </c>
      <c r="AO3" s="221">
        <f>'FY29'!AX3</f>
        <v>182</v>
      </c>
      <c r="AP3" s="221">
        <f>'FY30'!AX3</f>
        <v>182</v>
      </c>
      <c r="AR3" s="221">
        <f>'FY26'!BF3</f>
        <v>0</v>
      </c>
      <c r="AS3" s="221">
        <f>'FY27'!BF3</f>
        <v>0</v>
      </c>
      <c r="AT3" s="221">
        <f>'FY28'!BF3</f>
        <v>0</v>
      </c>
      <c r="AU3" s="221">
        <f>'FY29'!BF3</f>
        <v>0</v>
      </c>
      <c r="AV3" s="221">
        <f>'FY30'!BF3</f>
        <v>0</v>
      </c>
      <c r="AX3" s="221">
        <f>'FY26'!BN3</f>
        <v>8536</v>
      </c>
      <c r="AY3" s="221">
        <f>'FY27'!BN3</f>
        <v>9037</v>
      </c>
      <c r="AZ3" s="221">
        <f>'FY28'!BN3</f>
        <v>9205</v>
      </c>
      <c r="BA3" s="221">
        <f>'FY29'!BN3</f>
        <v>9273</v>
      </c>
      <c r="BB3" s="221">
        <f>'FY30'!BN3</f>
        <v>9279</v>
      </c>
    </row>
    <row r="4" spans="1:54" x14ac:dyDescent="0.25">
      <c r="A4" s="184" t="s">
        <v>77</v>
      </c>
      <c r="B4" s="223">
        <f>'FY26'!B4</f>
        <v>150</v>
      </c>
      <c r="C4" s="223">
        <f>'FY27'!B4</f>
        <v>150</v>
      </c>
      <c r="D4" s="223">
        <f>'FY28'!B4</f>
        <v>150</v>
      </c>
      <c r="E4" s="223">
        <f>'FY29'!B4</f>
        <v>150</v>
      </c>
      <c r="F4" s="223">
        <f>'FY30'!B4</f>
        <v>150</v>
      </c>
      <c r="H4" s="223">
        <f>'FY26'!J4</f>
        <v>130</v>
      </c>
      <c r="I4" s="223">
        <f>'FY27'!J4</f>
        <v>130</v>
      </c>
      <c r="J4" s="223">
        <f>'FY28'!J4</f>
        <v>130</v>
      </c>
      <c r="K4" s="223">
        <f>'FY29'!J4</f>
        <v>130</v>
      </c>
      <c r="L4" s="223">
        <f>'FY30'!J4</f>
        <v>130</v>
      </c>
      <c r="N4" s="223">
        <f>'FY26'!R4</f>
        <v>100</v>
      </c>
      <c r="O4" s="223">
        <f>'FY27'!R4</f>
        <v>100</v>
      </c>
      <c r="P4" s="223">
        <f>'FY28'!R4</f>
        <v>100</v>
      </c>
      <c r="Q4" s="223">
        <f>'FY29'!R4</f>
        <v>100</v>
      </c>
      <c r="R4" s="223">
        <f>'FY30'!R4</f>
        <v>100</v>
      </c>
      <c r="T4" s="223">
        <f>'FY26'!Z4</f>
        <v>125</v>
      </c>
      <c r="U4" s="223">
        <f>'FY27'!Z4</f>
        <v>125</v>
      </c>
      <c r="V4" s="223">
        <f>'FY28'!Z4</f>
        <v>125</v>
      </c>
      <c r="W4" s="223">
        <f>'FY29'!Z4</f>
        <v>125</v>
      </c>
      <c r="X4" s="223">
        <f>'FY30'!Z4</f>
        <v>125</v>
      </c>
      <c r="Z4" s="223">
        <f>'FY26'!AH4</f>
        <v>125</v>
      </c>
      <c r="AA4" s="223">
        <f>'FY27'!AH4</f>
        <v>125</v>
      </c>
      <c r="AB4" s="223">
        <f>'FY28'!AH4</f>
        <v>125</v>
      </c>
      <c r="AC4" s="223">
        <f>'FY29'!AH4</f>
        <v>125</v>
      </c>
      <c r="AD4" s="223">
        <f>'FY30'!AH4</f>
        <v>125</v>
      </c>
      <c r="AF4" s="223">
        <f>'FY26'!AP4</f>
        <v>74</v>
      </c>
      <c r="AG4" s="223">
        <f>'FY27'!AP4</f>
        <v>100</v>
      </c>
      <c r="AH4" s="223">
        <f>'FY28'!AP4</f>
        <v>100</v>
      </c>
      <c r="AI4" s="223">
        <f>'FY29'!AP4</f>
        <v>100</v>
      </c>
      <c r="AJ4" s="223">
        <f>'FY30'!AP4</f>
        <v>100</v>
      </c>
      <c r="AL4" s="223">
        <f>'FY26'!AX4</f>
        <v>0</v>
      </c>
      <c r="AM4" s="223">
        <f>'FY27'!AX4</f>
        <v>0</v>
      </c>
      <c r="AN4" s="223">
        <f>'FY28'!AX4</f>
        <v>0</v>
      </c>
      <c r="AO4" s="223">
        <f>'FY29'!AX4</f>
        <v>0</v>
      </c>
      <c r="AP4" s="223">
        <f>'FY30'!AX4</f>
        <v>0</v>
      </c>
      <c r="AR4" s="223">
        <f>'FY26'!BF4</f>
        <v>0</v>
      </c>
      <c r="AS4" s="223">
        <f>'FY27'!BF4</f>
        <v>0</v>
      </c>
      <c r="AT4" s="223">
        <f>'FY28'!BF4</f>
        <v>0</v>
      </c>
      <c r="AU4" s="223">
        <f>'FY29'!BF4</f>
        <v>0</v>
      </c>
      <c r="AV4" s="223">
        <f>'FY30'!BF4</f>
        <v>0</v>
      </c>
      <c r="AX4" s="223">
        <f>'FY26'!BN4</f>
        <v>704</v>
      </c>
      <c r="AY4" s="223">
        <f>'FY27'!BN4</f>
        <v>730</v>
      </c>
      <c r="AZ4" s="223">
        <f>'FY28'!BN4</f>
        <v>730</v>
      </c>
      <c r="BA4" s="223">
        <f>'FY29'!BN4</f>
        <v>730</v>
      </c>
      <c r="BB4" s="223">
        <f>'FY30'!BN4</f>
        <v>730</v>
      </c>
    </row>
    <row r="5" spans="1:54" x14ac:dyDescent="0.25">
      <c r="A5" s="183" t="s">
        <v>78</v>
      </c>
      <c r="B5" s="223">
        <f>'FY26'!B5</f>
        <v>154</v>
      </c>
      <c r="C5" s="223">
        <f>'FY27'!B5</f>
        <v>154</v>
      </c>
      <c r="D5" s="223">
        <f>'FY28'!B5</f>
        <v>154</v>
      </c>
      <c r="E5" s="223">
        <f>'FY29'!B5</f>
        <v>154</v>
      </c>
      <c r="F5" s="223">
        <f>'FY30'!B5</f>
        <v>154</v>
      </c>
      <c r="H5" s="223">
        <f>'FY26'!J5</f>
        <v>135</v>
      </c>
      <c r="I5" s="223">
        <f>'FY27'!J5</f>
        <v>135</v>
      </c>
      <c r="J5" s="223">
        <f>'FY28'!J5</f>
        <v>135</v>
      </c>
      <c r="K5" s="223">
        <f>'FY29'!J5</f>
        <v>135</v>
      </c>
      <c r="L5" s="223">
        <f>'FY30'!J5</f>
        <v>135</v>
      </c>
      <c r="N5" s="223">
        <f>'FY26'!R5</f>
        <v>104</v>
      </c>
      <c r="O5" s="223">
        <f>'FY27'!R5</f>
        <v>104</v>
      </c>
      <c r="P5" s="223">
        <f>'FY28'!R5</f>
        <v>104</v>
      </c>
      <c r="Q5" s="223">
        <f>'FY29'!R5</f>
        <v>104</v>
      </c>
      <c r="R5" s="223">
        <f>'FY30'!R5</f>
        <v>104</v>
      </c>
      <c r="T5" s="223">
        <f>'FY26'!Z5</f>
        <v>129</v>
      </c>
      <c r="U5" s="223">
        <f>'FY27'!Z5</f>
        <v>129</v>
      </c>
      <c r="V5" s="223">
        <f>'FY28'!Z5</f>
        <v>129</v>
      </c>
      <c r="W5" s="223">
        <f>'FY29'!Z5</f>
        <v>129</v>
      </c>
      <c r="X5" s="223">
        <f>'FY30'!Z5</f>
        <v>129</v>
      </c>
      <c r="Z5" s="223">
        <f>'FY26'!AH5</f>
        <v>125</v>
      </c>
      <c r="AA5" s="223">
        <f>'FY27'!AH5</f>
        <v>125</v>
      </c>
      <c r="AB5" s="223">
        <f>'FY28'!AH5</f>
        <v>125</v>
      </c>
      <c r="AC5" s="223">
        <f>'FY29'!AH5</f>
        <v>125</v>
      </c>
      <c r="AD5" s="223">
        <f>'FY30'!AH5</f>
        <v>125</v>
      </c>
      <c r="AF5" s="223">
        <f>'FY26'!AP5</f>
        <v>75</v>
      </c>
      <c r="AG5" s="223">
        <f>'FY27'!AP5</f>
        <v>104</v>
      </c>
      <c r="AH5" s="223">
        <f>'FY28'!AP5</f>
        <v>104</v>
      </c>
      <c r="AI5" s="223">
        <f>'FY29'!AP5</f>
        <v>104</v>
      </c>
      <c r="AJ5" s="223">
        <f>'FY30'!AP5</f>
        <v>104</v>
      </c>
      <c r="AL5" s="223">
        <f>'FY26'!AX5</f>
        <v>0</v>
      </c>
      <c r="AM5" s="223">
        <f>'FY27'!AX5</f>
        <v>0</v>
      </c>
      <c r="AN5" s="223">
        <f>'FY28'!AX5</f>
        <v>0</v>
      </c>
      <c r="AO5" s="223">
        <f>'FY29'!AX5</f>
        <v>0</v>
      </c>
      <c r="AP5" s="223">
        <f>'FY30'!AX5</f>
        <v>0</v>
      </c>
      <c r="AR5" s="223">
        <f>'FY26'!BF5</f>
        <v>0</v>
      </c>
      <c r="AS5" s="223">
        <f>'FY27'!BF5</f>
        <v>0</v>
      </c>
      <c r="AT5" s="223">
        <f>'FY28'!BF5</f>
        <v>0</v>
      </c>
      <c r="AU5" s="223">
        <f>'FY29'!BF5</f>
        <v>0</v>
      </c>
      <c r="AV5" s="223">
        <f>'FY30'!BF5</f>
        <v>0</v>
      </c>
      <c r="AX5" s="223">
        <f>'FY26'!BN5</f>
        <v>722</v>
      </c>
      <c r="AY5" s="223">
        <f>'FY27'!BN5</f>
        <v>751</v>
      </c>
      <c r="AZ5" s="223">
        <f>'FY28'!BN5</f>
        <v>751</v>
      </c>
      <c r="BA5" s="223">
        <f>'FY29'!BN5</f>
        <v>751</v>
      </c>
      <c r="BB5" s="223">
        <f>'FY30'!BN5</f>
        <v>751</v>
      </c>
    </row>
    <row r="6" spans="1:54" x14ac:dyDescent="0.25">
      <c r="A6" s="183" t="s">
        <v>79</v>
      </c>
      <c r="B6" s="223">
        <f>'FY26'!B6</f>
        <v>154</v>
      </c>
      <c r="C6" s="223">
        <f>'FY27'!B6</f>
        <v>154</v>
      </c>
      <c r="D6" s="223">
        <f>'FY28'!B6</f>
        <v>154</v>
      </c>
      <c r="E6" s="223">
        <f>'FY29'!B6</f>
        <v>154</v>
      </c>
      <c r="F6" s="223">
        <f>'FY30'!B6</f>
        <v>154</v>
      </c>
      <c r="H6" s="223">
        <f>'FY26'!J6</f>
        <v>145</v>
      </c>
      <c r="I6" s="223">
        <f>'FY27'!J6</f>
        <v>145</v>
      </c>
      <c r="J6" s="223">
        <f>'FY28'!J6</f>
        <v>145</v>
      </c>
      <c r="K6" s="223">
        <f>'FY29'!J6</f>
        <v>145</v>
      </c>
      <c r="L6" s="223">
        <f>'FY30'!J6</f>
        <v>145</v>
      </c>
      <c r="N6" s="223">
        <f>'FY26'!R6</f>
        <v>108</v>
      </c>
      <c r="O6" s="223">
        <f>'FY27'!R6</f>
        <v>108</v>
      </c>
      <c r="P6" s="223">
        <f>'FY28'!R6</f>
        <v>108</v>
      </c>
      <c r="Q6" s="223">
        <f>'FY29'!R6</f>
        <v>108</v>
      </c>
      <c r="R6" s="223">
        <f>'FY30'!R6</f>
        <v>108</v>
      </c>
      <c r="T6" s="223">
        <f>'FY26'!Z6</f>
        <v>129</v>
      </c>
      <c r="U6" s="223">
        <f>'FY27'!Z6</f>
        <v>129</v>
      </c>
      <c r="V6" s="223">
        <f>'FY28'!Z6</f>
        <v>129</v>
      </c>
      <c r="W6" s="223">
        <f>'FY29'!Z6</f>
        <v>129</v>
      </c>
      <c r="X6" s="223">
        <f>'FY30'!Z6</f>
        <v>129</v>
      </c>
      <c r="Z6" s="223">
        <f>'FY26'!AH6</f>
        <v>132</v>
      </c>
      <c r="AA6" s="223">
        <f>'FY27'!AH6</f>
        <v>132</v>
      </c>
      <c r="AB6" s="223">
        <f>'FY28'!AH6</f>
        <v>132</v>
      </c>
      <c r="AC6" s="223">
        <f>'FY29'!AH6</f>
        <v>132</v>
      </c>
      <c r="AD6" s="223">
        <f>'FY30'!AH6</f>
        <v>132</v>
      </c>
      <c r="AF6" s="223">
        <f>'FY26'!AP6</f>
        <v>75</v>
      </c>
      <c r="AG6" s="223">
        <f>'FY27'!AP6</f>
        <v>104</v>
      </c>
      <c r="AH6" s="223">
        <f>'FY28'!AP6</f>
        <v>104</v>
      </c>
      <c r="AI6" s="223">
        <f>'FY29'!AP6</f>
        <v>104</v>
      </c>
      <c r="AJ6" s="223">
        <f>'FY30'!AP6</f>
        <v>104</v>
      </c>
      <c r="AL6" s="223">
        <f>'FY26'!AX6</f>
        <v>0</v>
      </c>
      <c r="AM6" s="223">
        <f>'FY27'!AX6</f>
        <v>0</v>
      </c>
      <c r="AN6" s="223">
        <f>'FY28'!AX6</f>
        <v>0</v>
      </c>
      <c r="AO6" s="223">
        <f>'FY29'!AX6</f>
        <v>0</v>
      </c>
      <c r="AP6" s="223">
        <f>'FY30'!AX6</f>
        <v>0</v>
      </c>
      <c r="AR6" s="223">
        <f>'FY26'!BF6</f>
        <v>0</v>
      </c>
      <c r="AS6" s="223">
        <f>'FY27'!BF6</f>
        <v>0</v>
      </c>
      <c r="AT6" s="223">
        <f>'FY28'!BF6</f>
        <v>0</v>
      </c>
      <c r="AU6" s="223">
        <f>'FY29'!BF6</f>
        <v>0</v>
      </c>
      <c r="AV6" s="223">
        <f>'FY30'!BF6</f>
        <v>0</v>
      </c>
      <c r="AX6" s="223">
        <f>'FY26'!BN6</f>
        <v>743</v>
      </c>
      <c r="AY6" s="223">
        <f>'FY27'!BN6</f>
        <v>772</v>
      </c>
      <c r="AZ6" s="223">
        <f>'FY28'!BN6</f>
        <v>772</v>
      </c>
      <c r="BA6" s="223">
        <f>'FY29'!BN6</f>
        <v>772</v>
      </c>
      <c r="BB6" s="223">
        <f>'FY30'!BN6</f>
        <v>772</v>
      </c>
    </row>
    <row r="7" spans="1:54" x14ac:dyDescent="0.25">
      <c r="A7" s="185" t="s">
        <v>80</v>
      </c>
      <c r="B7" s="223">
        <f>'FY26'!B7</f>
        <v>153</v>
      </c>
      <c r="C7" s="223">
        <f>'FY27'!B7</f>
        <v>159</v>
      </c>
      <c r="D7" s="223">
        <f>'FY28'!B7</f>
        <v>159</v>
      </c>
      <c r="E7" s="223">
        <f>'FY29'!B7</f>
        <v>159</v>
      </c>
      <c r="F7" s="223">
        <f>'FY30'!B7</f>
        <v>159</v>
      </c>
      <c r="H7" s="223">
        <f>'FY26'!J7</f>
        <v>145</v>
      </c>
      <c r="I7" s="223">
        <f>'FY27'!J7</f>
        <v>145</v>
      </c>
      <c r="J7" s="223">
        <f>'FY28'!J7</f>
        <v>145</v>
      </c>
      <c r="K7" s="223">
        <f>'FY29'!J7</f>
        <v>145</v>
      </c>
      <c r="L7" s="223">
        <f>'FY30'!J7</f>
        <v>145</v>
      </c>
      <c r="N7" s="223">
        <f>'FY26'!R7</f>
        <v>116</v>
      </c>
      <c r="O7" s="223">
        <f>'FY27'!R7</f>
        <v>116</v>
      </c>
      <c r="P7" s="223">
        <f>'FY28'!R7</f>
        <v>116</v>
      </c>
      <c r="Q7" s="223">
        <f>'FY29'!R7</f>
        <v>116</v>
      </c>
      <c r="R7" s="223">
        <f>'FY30'!R7</f>
        <v>116</v>
      </c>
      <c r="T7" s="223">
        <f>'FY26'!Z7</f>
        <v>129</v>
      </c>
      <c r="U7" s="223">
        <f>'FY27'!Z7</f>
        <v>129</v>
      </c>
      <c r="V7" s="223">
        <f>'FY28'!Z7</f>
        <v>129</v>
      </c>
      <c r="W7" s="223">
        <f>'FY29'!Z7</f>
        <v>129</v>
      </c>
      <c r="X7" s="223">
        <f>'FY30'!Z7</f>
        <v>129</v>
      </c>
      <c r="Z7" s="223">
        <f>'FY26'!AH7</f>
        <v>137</v>
      </c>
      <c r="AA7" s="223">
        <f>'FY27'!AH7</f>
        <v>137</v>
      </c>
      <c r="AB7" s="223">
        <f>'FY28'!AH7</f>
        <v>137</v>
      </c>
      <c r="AC7" s="223">
        <f>'FY29'!AH7</f>
        <v>137</v>
      </c>
      <c r="AD7" s="223">
        <f>'FY30'!AH7</f>
        <v>137</v>
      </c>
      <c r="AF7" s="223">
        <f>'FY26'!AP7</f>
        <v>50</v>
      </c>
      <c r="AG7" s="223">
        <f>'FY27'!AP7</f>
        <v>108</v>
      </c>
      <c r="AH7" s="223">
        <f>'FY28'!AP7</f>
        <v>108</v>
      </c>
      <c r="AI7" s="223">
        <f>'FY29'!AP7</f>
        <v>108</v>
      </c>
      <c r="AJ7" s="223">
        <f>'FY30'!AP7</f>
        <v>108</v>
      </c>
      <c r="AL7" s="223">
        <f>'FY26'!AX7</f>
        <v>0</v>
      </c>
      <c r="AM7" s="223">
        <f>'FY27'!AX7</f>
        <v>0</v>
      </c>
      <c r="AN7" s="223">
        <f>'FY28'!AX7</f>
        <v>0</v>
      </c>
      <c r="AO7" s="223">
        <f>'FY29'!AX7</f>
        <v>0</v>
      </c>
      <c r="AP7" s="223">
        <f>'FY30'!AX7</f>
        <v>0</v>
      </c>
      <c r="AR7" s="223">
        <f>'FY26'!BF7</f>
        <v>0</v>
      </c>
      <c r="AS7" s="223">
        <f>'FY27'!BF7</f>
        <v>0</v>
      </c>
      <c r="AT7" s="223">
        <f>'FY28'!BF7</f>
        <v>0</v>
      </c>
      <c r="AU7" s="223">
        <f>'FY29'!BF7</f>
        <v>0</v>
      </c>
      <c r="AV7" s="223">
        <f>'FY30'!BF7</f>
        <v>0</v>
      </c>
      <c r="AX7" s="223">
        <f>'FY26'!BN7</f>
        <v>730</v>
      </c>
      <c r="AY7" s="223">
        <f>'FY27'!BN7</f>
        <v>794</v>
      </c>
      <c r="AZ7" s="223">
        <f>'FY28'!BN7</f>
        <v>794</v>
      </c>
      <c r="BA7" s="223">
        <f>'FY29'!BN7</f>
        <v>794</v>
      </c>
      <c r="BB7" s="223">
        <f>'FY30'!BN7</f>
        <v>794</v>
      </c>
    </row>
    <row r="8" spans="1:54" x14ac:dyDescent="0.25">
      <c r="A8" s="185" t="s">
        <v>81</v>
      </c>
      <c r="B8" s="223">
        <f>'FY26'!B8</f>
        <v>160</v>
      </c>
      <c r="C8" s="223">
        <f>'FY27'!B8</f>
        <v>158</v>
      </c>
      <c r="D8" s="223">
        <f>'FY28'!B8</f>
        <v>158</v>
      </c>
      <c r="E8" s="223">
        <f>'FY29'!B8</f>
        <v>158</v>
      </c>
      <c r="F8" s="223">
        <f>'FY30'!B8</f>
        <v>158</v>
      </c>
      <c r="H8" s="223">
        <f>'FY26'!J8</f>
        <v>150</v>
      </c>
      <c r="I8" s="223">
        <f>'FY27'!J8</f>
        <v>150</v>
      </c>
      <c r="J8" s="223">
        <f>'FY28'!J8</f>
        <v>150</v>
      </c>
      <c r="K8" s="223">
        <f>'FY29'!J8</f>
        <v>150</v>
      </c>
      <c r="L8" s="223">
        <f>'FY30'!J8</f>
        <v>150</v>
      </c>
      <c r="N8" s="223">
        <f>'FY26'!R8</f>
        <v>115</v>
      </c>
      <c r="O8" s="223">
        <f>'FY27'!R8</f>
        <v>115</v>
      </c>
      <c r="P8" s="223">
        <f>'FY28'!R8</f>
        <v>115</v>
      </c>
      <c r="Q8" s="223">
        <f>'FY29'!R8</f>
        <v>115</v>
      </c>
      <c r="R8" s="223">
        <f>'FY30'!R8</f>
        <v>115</v>
      </c>
      <c r="T8" s="223">
        <f>'FY26'!Z8</f>
        <v>128</v>
      </c>
      <c r="U8" s="223">
        <f>'FY27'!Z8</f>
        <v>128</v>
      </c>
      <c r="V8" s="223">
        <f>'FY28'!Z8</f>
        <v>128</v>
      </c>
      <c r="W8" s="223">
        <f>'FY29'!Z8</f>
        <v>128</v>
      </c>
      <c r="X8" s="223">
        <f>'FY30'!Z8</f>
        <v>128</v>
      </c>
      <c r="Z8" s="223">
        <f>'FY26'!AH8</f>
        <v>140</v>
      </c>
      <c r="AA8" s="223">
        <f>'FY27'!AH8</f>
        <v>140</v>
      </c>
      <c r="AB8" s="223">
        <f>'FY28'!AH8</f>
        <v>140</v>
      </c>
      <c r="AC8" s="223">
        <f>'FY29'!AH8</f>
        <v>140</v>
      </c>
      <c r="AD8" s="223">
        <f>'FY30'!AH8</f>
        <v>140</v>
      </c>
      <c r="AF8" s="223">
        <f>'FY26'!AP8</f>
        <v>48</v>
      </c>
      <c r="AG8" s="223">
        <f>'FY27'!AP8</f>
        <v>104</v>
      </c>
      <c r="AH8" s="223">
        <f>'FY28'!AP8</f>
        <v>108</v>
      </c>
      <c r="AI8" s="223">
        <f>'FY29'!AP8</f>
        <v>108</v>
      </c>
      <c r="AJ8" s="223">
        <f>'FY30'!AP8</f>
        <v>108</v>
      </c>
      <c r="AL8" s="223">
        <f>'FY26'!AX8</f>
        <v>0</v>
      </c>
      <c r="AM8" s="223">
        <f>'FY27'!AX8</f>
        <v>0</v>
      </c>
      <c r="AN8" s="223">
        <f>'FY28'!AX8</f>
        <v>0</v>
      </c>
      <c r="AO8" s="223">
        <f>'FY29'!AX8</f>
        <v>0</v>
      </c>
      <c r="AP8" s="223">
        <f>'FY30'!AX8</f>
        <v>0</v>
      </c>
      <c r="AR8" s="223">
        <f>'FY26'!BF8</f>
        <v>0</v>
      </c>
      <c r="AS8" s="223">
        <f>'FY27'!BF8</f>
        <v>0</v>
      </c>
      <c r="AT8" s="223">
        <f>'FY28'!BF8</f>
        <v>0</v>
      </c>
      <c r="AU8" s="223">
        <f>'FY29'!BF8</f>
        <v>0</v>
      </c>
      <c r="AV8" s="223">
        <f>'FY30'!BF8</f>
        <v>0</v>
      </c>
      <c r="AX8" s="223">
        <f>'FY26'!BN8</f>
        <v>741</v>
      </c>
      <c r="AY8" s="223">
        <f>'FY27'!BN8</f>
        <v>795</v>
      </c>
      <c r="AZ8" s="223">
        <f>'FY28'!BN8</f>
        <v>799</v>
      </c>
      <c r="BA8" s="223">
        <f>'FY29'!BN8</f>
        <v>799</v>
      </c>
      <c r="BB8" s="223">
        <f>'FY30'!BN8</f>
        <v>799</v>
      </c>
    </row>
    <row r="9" spans="1:54" x14ac:dyDescent="0.25">
      <c r="A9" s="185" t="s">
        <v>82</v>
      </c>
      <c r="B9" s="223">
        <f>'FY26'!B9</f>
        <v>139</v>
      </c>
      <c r="C9" s="223">
        <f>'FY27'!B9</f>
        <v>152</v>
      </c>
      <c r="D9" s="223">
        <f>'FY28'!B9</f>
        <v>152</v>
      </c>
      <c r="E9" s="223">
        <f>'FY29'!B9</f>
        <v>152</v>
      </c>
      <c r="F9" s="223">
        <f>'FY30'!B9</f>
        <v>152</v>
      </c>
      <c r="H9" s="223">
        <f>'FY26'!J9</f>
        <v>155</v>
      </c>
      <c r="I9" s="223">
        <f>'FY27'!J9</f>
        <v>155</v>
      </c>
      <c r="J9" s="223">
        <f>'FY28'!J9</f>
        <v>155</v>
      </c>
      <c r="K9" s="223">
        <f>'FY29'!J9</f>
        <v>155</v>
      </c>
      <c r="L9" s="223">
        <f>'FY30'!J9</f>
        <v>155</v>
      </c>
      <c r="N9" s="223">
        <f>'FY26'!R9</f>
        <v>120</v>
      </c>
      <c r="O9" s="223">
        <f>'FY27'!R9</f>
        <v>120</v>
      </c>
      <c r="P9" s="223">
        <f>'FY28'!R9</f>
        <v>120</v>
      </c>
      <c r="Q9" s="223">
        <f>'FY29'!R9</f>
        <v>120</v>
      </c>
      <c r="R9" s="223">
        <f>'FY30'!R9</f>
        <v>120</v>
      </c>
      <c r="T9" s="223">
        <f>'FY26'!Z9</f>
        <v>135</v>
      </c>
      <c r="U9" s="223">
        <f>'FY27'!Z9</f>
        <v>135</v>
      </c>
      <c r="V9" s="223">
        <f>'FY28'!Z9</f>
        <v>135</v>
      </c>
      <c r="W9" s="223">
        <f>'FY29'!Z9</f>
        <v>135</v>
      </c>
      <c r="X9" s="223">
        <f>'FY30'!Z9</f>
        <v>135</v>
      </c>
      <c r="Z9" s="223">
        <f>'FY26'!AH9</f>
        <v>142</v>
      </c>
      <c r="AA9" s="223">
        <f>'FY27'!AH9</f>
        <v>142</v>
      </c>
      <c r="AB9" s="223">
        <f>'FY28'!AH9</f>
        <v>142</v>
      </c>
      <c r="AC9" s="223">
        <f>'FY29'!AH9</f>
        <v>142</v>
      </c>
      <c r="AD9" s="223">
        <f>'FY30'!AH9</f>
        <v>142</v>
      </c>
      <c r="AF9" s="223">
        <f>'FY26'!AP9</f>
        <v>48</v>
      </c>
      <c r="AG9" s="223">
        <f>'FY27'!AP9</f>
        <v>75</v>
      </c>
      <c r="AH9" s="223">
        <f>'FY28'!AP9</f>
        <v>104</v>
      </c>
      <c r="AI9" s="223">
        <f>'FY29'!AP9</f>
        <v>108</v>
      </c>
      <c r="AJ9" s="223">
        <f>'FY30'!AP9</f>
        <v>112</v>
      </c>
      <c r="AL9" s="223">
        <f>'FY26'!AX9</f>
        <v>0</v>
      </c>
      <c r="AM9" s="223">
        <f>'FY27'!AX9</f>
        <v>0</v>
      </c>
      <c r="AN9" s="223">
        <f>'FY28'!AX9</f>
        <v>0</v>
      </c>
      <c r="AO9" s="223">
        <f>'FY29'!AX9</f>
        <v>0</v>
      </c>
      <c r="AP9" s="223">
        <f>'FY30'!AX9</f>
        <v>0</v>
      </c>
      <c r="AR9" s="223">
        <f>'FY26'!BF9</f>
        <v>0</v>
      </c>
      <c r="AS9" s="223">
        <f>'FY27'!BF9</f>
        <v>0</v>
      </c>
      <c r="AT9" s="223">
        <f>'FY28'!BF9</f>
        <v>0</v>
      </c>
      <c r="AU9" s="223">
        <f>'FY29'!BF9</f>
        <v>0</v>
      </c>
      <c r="AV9" s="223">
        <f>'FY30'!BF9</f>
        <v>0</v>
      </c>
      <c r="AX9" s="223">
        <f>'FY26'!BN9</f>
        <v>739</v>
      </c>
      <c r="AY9" s="223">
        <f>'FY27'!BN9</f>
        <v>779</v>
      </c>
      <c r="AZ9" s="223">
        <f>'FY28'!BN9</f>
        <v>808</v>
      </c>
      <c r="BA9" s="223">
        <f>'FY29'!BN9</f>
        <v>812</v>
      </c>
      <c r="BB9" s="223">
        <f>'FY30'!BN9</f>
        <v>816</v>
      </c>
    </row>
    <row r="10" spans="1:54" x14ac:dyDescent="0.25">
      <c r="A10" s="185" t="s">
        <v>83</v>
      </c>
      <c r="B10" s="223">
        <f>'FY26'!B10</f>
        <v>0</v>
      </c>
      <c r="C10" s="223">
        <f>'FY27'!B10</f>
        <v>0</v>
      </c>
      <c r="D10" s="223">
        <f>'FY28'!B10</f>
        <v>0</v>
      </c>
      <c r="E10" s="223">
        <f>'FY29'!B10</f>
        <v>0</v>
      </c>
      <c r="F10" s="223">
        <f>'FY30'!B10</f>
        <v>0</v>
      </c>
      <c r="H10" s="223">
        <f>'FY26'!J10</f>
        <v>303</v>
      </c>
      <c r="I10" s="223">
        <f>'FY27'!J10</f>
        <v>300</v>
      </c>
      <c r="J10" s="223">
        <f>'FY28'!J10</f>
        <v>300</v>
      </c>
      <c r="K10" s="223">
        <f>'FY29'!J10</f>
        <v>300</v>
      </c>
      <c r="L10" s="223">
        <f>'FY30'!J10</f>
        <v>300</v>
      </c>
      <c r="N10" s="223">
        <f>'FY26'!R10</f>
        <v>123</v>
      </c>
      <c r="O10" s="223">
        <f>'FY27'!R10</f>
        <v>123</v>
      </c>
      <c r="P10" s="223">
        <f>'FY28'!R10</f>
        <v>123</v>
      </c>
      <c r="Q10" s="223">
        <f>'FY29'!R10</f>
        <v>123</v>
      </c>
      <c r="R10" s="223">
        <f>'FY30'!R10</f>
        <v>123</v>
      </c>
      <c r="T10" s="223">
        <f>'FY26'!Z10</f>
        <v>140</v>
      </c>
      <c r="U10" s="223">
        <f>'FY27'!Z10</f>
        <v>140</v>
      </c>
      <c r="V10" s="223">
        <f>'FY28'!Z10</f>
        <v>140</v>
      </c>
      <c r="W10" s="223">
        <f>'FY29'!Z10</f>
        <v>140</v>
      </c>
      <c r="X10" s="223">
        <f>'FY30'!Z10</f>
        <v>140</v>
      </c>
      <c r="Z10" s="223">
        <f>'FY26'!AH10</f>
        <v>210</v>
      </c>
      <c r="AA10" s="223">
        <f>'FY27'!AH10</f>
        <v>150</v>
      </c>
      <c r="AB10" s="223">
        <f>'FY28'!AH10</f>
        <v>150</v>
      </c>
      <c r="AC10" s="223">
        <f>'FY29'!AH10</f>
        <v>153</v>
      </c>
      <c r="AD10" s="223">
        <f>'FY30'!AH10</f>
        <v>153</v>
      </c>
      <c r="AF10" s="223">
        <f>'FY26'!AP10</f>
        <v>0</v>
      </c>
      <c r="AG10" s="223">
        <f>'FY27'!AP10</f>
        <v>93</v>
      </c>
      <c r="AH10" s="223">
        <f>'FY28'!AP10</f>
        <v>93</v>
      </c>
      <c r="AI10" s="223">
        <f>'FY29'!AP10</f>
        <v>96</v>
      </c>
      <c r="AJ10" s="223">
        <f>'FY30'!AP10</f>
        <v>96</v>
      </c>
      <c r="AL10" s="223">
        <f>'FY26'!AX10</f>
        <v>25</v>
      </c>
      <c r="AM10" s="223">
        <f>'FY27'!AX10</f>
        <v>36</v>
      </c>
      <c r="AN10" s="223">
        <f>'FY28'!AX10</f>
        <v>36</v>
      </c>
      <c r="AO10" s="223">
        <f>'FY29'!AX10</f>
        <v>36</v>
      </c>
      <c r="AP10" s="223">
        <f>'FY30'!AX10</f>
        <v>36</v>
      </c>
      <c r="AR10" s="223">
        <f>'FY26'!BF10</f>
        <v>0</v>
      </c>
      <c r="AS10" s="223">
        <f>'FY27'!BF10</f>
        <v>0</v>
      </c>
      <c r="AT10" s="223">
        <f>'FY28'!BF10</f>
        <v>0</v>
      </c>
      <c r="AU10" s="223">
        <f>'FY29'!BF10</f>
        <v>0</v>
      </c>
      <c r="AV10" s="223">
        <f>'FY30'!BF10</f>
        <v>0</v>
      </c>
      <c r="AX10" s="223">
        <f>'FY26'!BN10</f>
        <v>801</v>
      </c>
      <c r="AY10" s="223">
        <f>'FY27'!BN10</f>
        <v>842</v>
      </c>
      <c r="AZ10" s="223">
        <f>'FY28'!BN10</f>
        <v>842</v>
      </c>
      <c r="BA10" s="223">
        <f>'FY29'!BN10</f>
        <v>848</v>
      </c>
      <c r="BB10" s="223">
        <f>'FY30'!BN10</f>
        <v>848</v>
      </c>
    </row>
    <row r="11" spans="1:54" x14ac:dyDescent="0.25">
      <c r="A11" s="185" t="s">
        <v>84</v>
      </c>
      <c r="B11" s="223">
        <f>'FY26'!B11</f>
        <v>0</v>
      </c>
      <c r="C11" s="223">
        <f>'FY27'!B11</f>
        <v>0</v>
      </c>
      <c r="D11" s="223">
        <f>'FY28'!B11</f>
        <v>0</v>
      </c>
      <c r="E11" s="223">
        <f>'FY29'!B11</f>
        <v>0</v>
      </c>
      <c r="F11" s="223">
        <f>'FY30'!B11</f>
        <v>0</v>
      </c>
      <c r="H11" s="223">
        <f>'FY26'!J11</f>
        <v>279</v>
      </c>
      <c r="I11" s="223">
        <f>'FY27'!J11</f>
        <v>279</v>
      </c>
      <c r="J11" s="223">
        <f>'FY28'!J11</f>
        <v>279</v>
      </c>
      <c r="K11" s="223">
        <f>'FY29'!J11</f>
        <v>279</v>
      </c>
      <c r="L11" s="223">
        <f>'FY30'!J11</f>
        <v>279</v>
      </c>
      <c r="N11" s="223">
        <f>'FY26'!R11</f>
        <v>122</v>
      </c>
      <c r="O11" s="223">
        <f>'FY27'!R11</f>
        <v>122</v>
      </c>
      <c r="P11" s="223">
        <f>'FY28'!R11</f>
        <v>122</v>
      </c>
      <c r="Q11" s="223">
        <f>'FY29'!R11</f>
        <v>122</v>
      </c>
      <c r="R11" s="223">
        <f>'FY30'!R11</f>
        <v>122</v>
      </c>
      <c r="T11" s="223">
        <f>'FY26'!Z11</f>
        <v>143</v>
      </c>
      <c r="U11" s="223">
        <f>'FY27'!Z11</f>
        <v>143</v>
      </c>
      <c r="V11" s="223">
        <f>'FY28'!Z11</f>
        <v>143</v>
      </c>
      <c r="W11" s="223">
        <f>'FY29'!Z11</f>
        <v>143</v>
      </c>
      <c r="X11" s="223">
        <f>'FY30'!Z11</f>
        <v>143</v>
      </c>
      <c r="Z11" s="223">
        <f>'FY26'!AH11</f>
        <v>180</v>
      </c>
      <c r="AA11" s="223">
        <f>'FY27'!AH11</f>
        <v>208</v>
      </c>
      <c r="AB11" s="223">
        <f>'FY28'!AH11</f>
        <v>150</v>
      </c>
      <c r="AC11" s="223">
        <f>'FY29'!AH11</f>
        <v>153</v>
      </c>
      <c r="AD11" s="223">
        <f>'FY30'!AH11</f>
        <v>153</v>
      </c>
      <c r="AF11" s="223">
        <f>'FY26'!AP11</f>
        <v>0</v>
      </c>
      <c r="AG11" s="223">
        <f>'FY27'!AP11</f>
        <v>0</v>
      </c>
      <c r="AH11" s="223">
        <f>'FY28'!AP11</f>
        <v>93</v>
      </c>
      <c r="AI11" s="223">
        <f>'FY29'!AP11</f>
        <v>93</v>
      </c>
      <c r="AJ11" s="223">
        <f>'FY30'!AP11</f>
        <v>95</v>
      </c>
      <c r="AL11" s="223">
        <f>'FY26'!AX11</f>
        <v>25</v>
      </c>
      <c r="AM11" s="223">
        <f>'FY27'!AX11</f>
        <v>36</v>
      </c>
      <c r="AN11" s="223">
        <f>'FY28'!AX11</f>
        <v>36</v>
      </c>
      <c r="AO11" s="223">
        <f>'FY29'!AX11</f>
        <v>36</v>
      </c>
      <c r="AP11" s="223">
        <f>'FY30'!AX11</f>
        <v>36</v>
      </c>
      <c r="AR11" s="223">
        <f>'FY26'!BF11</f>
        <v>0</v>
      </c>
      <c r="AS11" s="223">
        <f>'FY27'!BF11</f>
        <v>0</v>
      </c>
      <c r="AT11" s="223">
        <f>'FY28'!BF11</f>
        <v>0</v>
      </c>
      <c r="AU11" s="223">
        <f>'FY29'!BF11</f>
        <v>0</v>
      </c>
      <c r="AV11" s="223">
        <f>'FY30'!BF11</f>
        <v>0</v>
      </c>
      <c r="AX11" s="223">
        <f>'FY26'!BN11</f>
        <v>749</v>
      </c>
      <c r="AY11" s="223">
        <f>'FY27'!BN11</f>
        <v>788</v>
      </c>
      <c r="AZ11" s="223">
        <f>'FY28'!BN11</f>
        <v>823</v>
      </c>
      <c r="BA11" s="223">
        <f>'FY29'!BN11</f>
        <v>826</v>
      </c>
      <c r="BB11" s="223">
        <f>'FY30'!BN11</f>
        <v>828</v>
      </c>
    </row>
    <row r="12" spans="1:54" x14ac:dyDescent="0.25">
      <c r="A12" s="185" t="s">
        <v>85</v>
      </c>
      <c r="B12" s="223">
        <f>'FY26'!B12</f>
        <v>0</v>
      </c>
      <c r="C12" s="223">
        <f>'FY27'!B12</f>
        <v>0</v>
      </c>
      <c r="D12" s="223">
        <f>'FY28'!B12</f>
        <v>0</v>
      </c>
      <c r="E12" s="223">
        <f>'FY29'!B12</f>
        <v>0</v>
      </c>
      <c r="F12" s="223">
        <f>'FY30'!B12</f>
        <v>0</v>
      </c>
      <c r="H12" s="223">
        <f>'FY26'!J12</f>
        <v>248</v>
      </c>
      <c r="I12" s="223">
        <f>'FY27'!J12</f>
        <v>279</v>
      </c>
      <c r="J12" s="223">
        <f>'FY28'!J12</f>
        <v>279</v>
      </c>
      <c r="K12" s="223">
        <f>'FY29'!J12</f>
        <v>279</v>
      </c>
      <c r="L12" s="223">
        <f>'FY30'!J12</f>
        <v>279</v>
      </c>
      <c r="N12" s="223">
        <f>'FY26'!R12</f>
        <v>122</v>
      </c>
      <c r="O12" s="223">
        <f>'FY27'!R12</f>
        <v>122</v>
      </c>
      <c r="P12" s="223">
        <f>'FY28'!R12</f>
        <v>122</v>
      </c>
      <c r="Q12" s="223">
        <f>'FY29'!R12</f>
        <v>122</v>
      </c>
      <c r="R12" s="223">
        <f>'FY30'!R12</f>
        <v>122</v>
      </c>
      <c r="T12" s="223">
        <f>'FY26'!Z12</f>
        <v>126</v>
      </c>
      <c r="U12" s="223">
        <f>'FY27'!Z12</f>
        <v>140</v>
      </c>
      <c r="V12" s="223">
        <f>'FY28'!Z12</f>
        <v>140</v>
      </c>
      <c r="W12" s="223">
        <f>'FY29'!Z12</f>
        <v>140</v>
      </c>
      <c r="X12" s="223">
        <f>'FY30'!Z12</f>
        <v>140</v>
      </c>
      <c r="Z12" s="223">
        <f>'FY26'!AH12</f>
        <v>186</v>
      </c>
      <c r="AA12" s="223">
        <f>'FY27'!AH12</f>
        <v>184</v>
      </c>
      <c r="AB12" s="223">
        <f>'FY28'!AH12</f>
        <v>206</v>
      </c>
      <c r="AC12" s="223">
        <f>'FY29'!AH12</f>
        <v>153</v>
      </c>
      <c r="AD12" s="223">
        <f>'FY30'!AH12</f>
        <v>153</v>
      </c>
      <c r="AF12" s="223">
        <f>'FY26'!AP12</f>
        <v>0</v>
      </c>
      <c r="AG12" s="223">
        <f>'FY27'!AP12</f>
        <v>0</v>
      </c>
      <c r="AH12" s="223">
        <f>'FY28'!AP12</f>
        <v>0</v>
      </c>
      <c r="AI12" s="223">
        <f>'FY29'!AP12</f>
        <v>93</v>
      </c>
      <c r="AJ12" s="223">
        <f>'FY30'!AP12</f>
        <v>93</v>
      </c>
      <c r="AL12" s="223">
        <f>'FY26'!AX12</f>
        <v>25</v>
      </c>
      <c r="AM12" s="223">
        <f>'FY27'!AX12</f>
        <v>36</v>
      </c>
      <c r="AN12" s="223">
        <f>'FY28'!AX12</f>
        <v>36</v>
      </c>
      <c r="AO12" s="223">
        <f>'FY29'!AX12</f>
        <v>36</v>
      </c>
      <c r="AP12" s="223">
        <f>'FY30'!AX12</f>
        <v>36</v>
      </c>
      <c r="AR12" s="223">
        <f>'FY26'!BF12</f>
        <v>0</v>
      </c>
      <c r="AS12" s="223">
        <f>'FY27'!BF12</f>
        <v>0</v>
      </c>
      <c r="AT12" s="223">
        <f>'FY28'!BF12</f>
        <v>0</v>
      </c>
      <c r="AU12" s="223">
        <f>'FY29'!BF12</f>
        <v>0</v>
      </c>
      <c r="AV12" s="223">
        <f>'FY30'!BF12</f>
        <v>0</v>
      </c>
      <c r="AX12" s="223">
        <f>'FY26'!BN12</f>
        <v>707</v>
      </c>
      <c r="AY12" s="223">
        <f>'FY27'!BN12</f>
        <v>761</v>
      </c>
      <c r="AZ12" s="223">
        <f>'FY28'!BN12</f>
        <v>783</v>
      </c>
      <c r="BA12" s="223">
        <f>'FY29'!BN12</f>
        <v>823</v>
      </c>
      <c r="BB12" s="223">
        <f>'FY30'!BN12</f>
        <v>823</v>
      </c>
    </row>
    <row r="13" spans="1:54" x14ac:dyDescent="0.25">
      <c r="A13" s="185" t="s">
        <v>86</v>
      </c>
      <c r="B13" s="227">
        <f>'FY26'!B13</f>
        <v>0</v>
      </c>
      <c r="C13" s="227">
        <f>'FY27'!B13</f>
        <v>0</v>
      </c>
      <c r="D13" s="227">
        <f>'FY28'!B13</f>
        <v>0</v>
      </c>
      <c r="E13" s="227">
        <f>'FY29'!B13</f>
        <v>0</v>
      </c>
      <c r="F13" s="227">
        <f>'FY30'!B13</f>
        <v>0</v>
      </c>
      <c r="H13" s="227">
        <f>'FY26'!J13</f>
        <v>217</v>
      </c>
      <c r="I13" s="227">
        <f>'FY27'!J13</f>
        <v>217</v>
      </c>
      <c r="J13" s="227">
        <f>'FY28'!J13</f>
        <v>217</v>
      </c>
      <c r="K13" s="227">
        <f>'FY29'!J13</f>
        <v>217</v>
      </c>
      <c r="L13" s="227">
        <f>'FY30'!J13</f>
        <v>217</v>
      </c>
      <c r="N13" s="227">
        <f>'FY26'!R13</f>
        <v>0</v>
      </c>
      <c r="O13" s="227">
        <f>'FY27'!R13</f>
        <v>0</v>
      </c>
      <c r="P13" s="227">
        <f>'FY28'!R13</f>
        <v>0</v>
      </c>
      <c r="Q13" s="227">
        <f>'FY29'!R13</f>
        <v>0</v>
      </c>
      <c r="R13" s="227">
        <f>'FY30'!R13</f>
        <v>0</v>
      </c>
      <c r="T13" s="227">
        <f>'FY26'!Z13</f>
        <v>0</v>
      </c>
      <c r="U13" s="227">
        <f>'FY27'!Z13</f>
        <v>0</v>
      </c>
      <c r="V13" s="227">
        <f>'FY28'!Z13</f>
        <v>0</v>
      </c>
      <c r="W13" s="227">
        <f>'FY29'!Z13</f>
        <v>0</v>
      </c>
      <c r="X13" s="227">
        <f>'FY30'!Z13</f>
        <v>0</v>
      </c>
      <c r="Z13" s="227">
        <f>'FY26'!AH13</f>
        <v>330</v>
      </c>
      <c r="AA13" s="227">
        <f>'FY27'!AH13</f>
        <v>329</v>
      </c>
      <c r="AB13" s="227">
        <f>'FY28'!AH13</f>
        <v>329</v>
      </c>
      <c r="AC13" s="227">
        <f>'FY29'!AH13</f>
        <v>329</v>
      </c>
      <c r="AD13" s="227">
        <f>'FY30'!AH13</f>
        <v>329</v>
      </c>
      <c r="AF13" s="227">
        <f>'FY26'!AP13</f>
        <v>0</v>
      </c>
      <c r="AG13" s="227">
        <f>'FY27'!AP13</f>
        <v>0</v>
      </c>
      <c r="AH13" s="227">
        <f>'FY28'!AP13</f>
        <v>0</v>
      </c>
      <c r="AI13" s="227">
        <f>'FY29'!AP13</f>
        <v>0</v>
      </c>
      <c r="AJ13" s="227">
        <f>'FY30'!AP13</f>
        <v>0</v>
      </c>
      <c r="AL13" s="227">
        <f>'FY26'!AX13</f>
        <v>20</v>
      </c>
      <c r="AM13" s="227">
        <f>'FY27'!AX13</f>
        <v>25</v>
      </c>
      <c r="AN13" s="227">
        <f>'FY28'!AX13</f>
        <v>25</v>
      </c>
      <c r="AO13" s="227">
        <f>'FY29'!AX13</f>
        <v>25</v>
      </c>
      <c r="AP13" s="227">
        <f>'FY30'!AX13</f>
        <v>25</v>
      </c>
      <c r="AR13" s="227">
        <f>'FY26'!BF13</f>
        <v>0</v>
      </c>
      <c r="AS13" s="227">
        <f>'FY27'!BF13</f>
        <v>0</v>
      </c>
      <c r="AT13" s="227">
        <f>'FY28'!BF13</f>
        <v>0</v>
      </c>
      <c r="AU13" s="227">
        <f>'FY29'!BF13</f>
        <v>0</v>
      </c>
      <c r="AV13" s="227">
        <f>'FY30'!BF13</f>
        <v>0</v>
      </c>
      <c r="AX13" s="227">
        <f>'FY26'!BN13</f>
        <v>567</v>
      </c>
      <c r="AY13" s="227">
        <f>'FY27'!BN13</f>
        <v>571</v>
      </c>
      <c r="AZ13" s="227">
        <f>'FY28'!BN13</f>
        <v>571</v>
      </c>
      <c r="BA13" s="227">
        <f>'FY29'!BN13</f>
        <v>571</v>
      </c>
      <c r="BB13" s="227">
        <f>'FY30'!BN13</f>
        <v>571</v>
      </c>
    </row>
    <row r="14" spans="1:54" x14ac:dyDescent="0.25">
      <c r="A14" s="185" t="s">
        <v>87</v>
      </c>
      <c r="B14" s="227">
        <f>'FY26'!B14</f>
        <v>0</v>
      </c>
      <c r="C14" s="227">
        <f>'FY27'!B14</f>
        <v>0</v>
      </c>
      <c r="D14" s="227">
        <f>'FY28'!B14</f>
        <v>0</v>
      </c>
      <c r="E14" s="227">
        <f>'FY29'!B14</f>
        <v>0</v>
      </c>
      <c r="F14" s="227">
        <f>'FY30'!B14</f>
        <v>0</v>
      </c>
      <c r="H14" s="227">
        <f>'FY26'!J14</f>
        <v>217</v>
      </c>
      <c r="I14" s="227">
        <f>'FY27'!J14</f>
        <v>217</v>
      </c>
      <c r="J14" s="227">
        <f>'FY28'!J14</f>
        <v>217</v>
      </c>
      <c r="K14" s="227">
        <f>'FY29'!J14</f>
        <v>217</v>
      </c>
      <c r="L14" s="227">
        <f>'FY30'!J14</f>
        <v>217</v>
      </c>
      <c r="N14" s="227">
        <f>'FY26'!R14</f>
        <v>0</v>
      </c>
      <c r="O14" s="227">
        <f>'FY27'!R14</f>
        <v>0</v>
      </c>
      <c r="P14" s="227">
        <f>'FY28'!R14</f>
        <v>0</v>
      </c>
      <c r="Q14" s="227">
        <f>'FY29'!R14</f>
        <v>0</v>
      </c>
      <c r="R14" s="227">
        <f>'FY30'!R14</f>
        <v>0</v>
      </c>
      <c r="T14" s="227">
        <f>'FY26'!Z14</f>
        <v>0</v>
      </c>
      <c r="U14" s="227">
        <f>'FY27'!Z14</f>
        <v>0</v>
      </c>
      <c r="V14" s="227">
        <f>'FY28'!Z14</f>
        <v>0</v>
      </c>
      <c r="W14" s="227">
        <f>'FY29'!Z14</f>
        <v>0</v>
      </c>
      <c r="X14" s="227">
        <f>'FY30'!Z14</f>
        <v>0</v>
      </c>
      <c r="Z14" s="227">
        <f>'FY26'!AH14</f>
        <v>300</v>
      </c>
      <c r="AA14" s="227">
        <f>'FY27'!AH14</f>
        <v>319</v>
      </c>
      <c r="AB14" s="227">
        <f>'FY28'!AH14</f>
        <v>319</v>
      </c>
      <c r="AC14" s="227">
        <f>'FY29'!AH14</f>
        <v>319</v>
      </c>
      <c r="AD14" s="227">
        <f>'FY30'!AH14</f>
        <v>319</v>
      </c>
      <c r="AF14" s="227">
        <f>'FY26'!AP14</f>
        <v>0</v>
      </c>
      <c r="AG14" s="227">
        <f>'FY27'!AP14</f>
        <v>0</v>
      </c>
      <c r="AH14" s="227">
        <f>'FY28'!AP14</f>
        <v>0</v>
      </c>
      <c r="AI14" s="227">
        <f>'FY29'!AP14</f>
        <v>0</v>
      </c>
      <c r="AJ14" s="227">
        <f>'FY30'!AP14</f>
        <v>0</v>
      </c>
      <c r="AL14" s="227">
        <f>'FY26'!AX14</f>
        <v>20</v>
      </c>
      <c r="AM14" s="227">
        <f>'FY27'!AX14</f>
        <v>24</v>
      </c>
      <c r="AN14" s="227">
        <f>'FY28'!AX14</f>
        <v>24</v>
      </c>
      <c r="AO14" s="227">
        <f>'FY29'!AX14</f>
        <v>24</v>
      </c>
      <c r="AP14" s="227">
        <f>'FY30'!AX14</f>
        <v>24</v>
      </c>
      <c r="AR14" s="227">
        <f>'FY26'!BF14</f>
        <v>0</v>
      </c>
      <c r="AS14" s="227">
        <f>'FY27'!BF14</f>
        <v>0</v>
      </c>
      <c r="AT14" s="227">
        <f>'FY28'!BF14</f>
        <v>0</v>
      </c>
      <c r="AU14" s="227">
        <f>'FY29'!BF14</f>
        <v>0</v>
      </c>
      <c r="AV14" s="227">
        <f>'FY30'!BF14</f>
        <v>0</v>
      </c>
      <c r="AX14" s="227">
        <f>'FY26'!BN14</f>
        <v>537</v>
      </c>
      <c r="AY14" s="227">
        <f>'FY27'!BN14</f>
        <v>560</v>
      </c>
      <c r="AZ14" s="227">
        <f>'FY28'!BN14</f>
        <v>560</v>
      </c>
      <c r="BA14" s="227">
        <f>'FY29'!BN14</f>
        <v>560</v>
      </c>
      <c r="BB14" s="227">
        <f>'FY30'!BN14</f>
        <v>560</v>
      </c>
    </row>
    <row r="15" spans="1:54" x14ac:dyDescent="0.25">
      <c r="A15" s="185" t="s">
        <v>88</v>
      </c>
      <c r="B15" s="227">
        <f>'FY26'!B15</f>
        <v>0</v>
      </c>
      <c r="C15" s="227">
        <f>'FY27'!B15</f>
        <v>0</v>
      </c>
      <c r="D15" s="227">
        <f>'FY28'!B15</f>
        <v>0</v>
      </c>
      <c r="E15" s="227">
        <f>'FY29'!B15</f>
        <v>0</v>
      </c>
      <c r="F15" s="227">
        <f>'FY30'!B15</f>
        <v>0</v>
      </c>
      <c r="H15" s="227">
        <f>'FY26'!J15</f>
        <v>188</v>
      </c>
      <c r="I15" s="227">
        <f>'FY27'!J15</f>
        <v>188</v>
      </c>
      <c r="J15" s="227">
        <f>'FY28'!J15</f>
        <v>188</v>
      </c>
      <c r="K15" s="227">
        <f>'FY29'!J15</f>
        <v>188</v>
      </c>
      <c r="L15" s="227">
        <f>'FY30'!J15</f>
        <v>188</v>
      </c>
      <c r="N15" s="227">
        <f>'FY26'!R15</f>
        <v>0</v>
      </c>
      <c r="O15" s="227">
        <f>'FY27'!R15</f>
        <v>0</v>
      </c>
      <c r="P15" s="227">
        <f>'FY28'!R15</f>
        <v>0</v>
      </c>
      <c r="Q15" s="227">
        <f>'FY29'!R15</f>
        <v>0</v>
      </c>
      <c r="R15" s="227">
        <f>'FY30'!R15</f>
        <v>0</v>
      </c>
      <c r="T15" s="227">
        <f>'FY26'!Z15</f>
        <v>0</v>
      </c>
      <c r="U15" s="227">
        <f>'FY27'!Z15</f>
        <v>0</v>
      </c>
      <c r="V15" s="227">
        <f>'FY28'!Z15</f>
        <v>0</v>
      </c>
      <c r="W15" s="227">
        <f>'FY29'!Z15</f>
        <v>0</v>
      </c>
      <c r="X15" s="227">
        <f>'FY30'!Z15</f>
        <v>0</v>
      </c>
      <c r="Z15" s="227">
        <f>'FY26'!AH15</f>
        <v>220</v>
      </c>
      <c r="AA15" s="227">
        <f>'FY27'!AH15</f>
        <v>292</v>
      </c>
      <c r="AB15" s="227">
        <f>'FY28'!AH15</f>
        <v>300</v>
      </c>
      <c r="AC15" s="227">
        <f>'FY29'!AH15</f>
        <v>305</v>
      </c>
      <c r="AD15" s="227">
        <f>'FY30'!AH15</f>
        <v>305</v>
      </c>
      <c r="AF15" s="227">
        <f>'FY26'!AP15</f>
        <v>0</v>
      </c>
      <c r="AG15" s="227">
        <f>'FY27'!AP15</f>
        <v>0</v>
      </c>
      <c r="AH15" s="227">
        <f>'FY28'!AP15</f>
        <v>0</v>
      </c>
      <c r="AI15" s="227">
        <f>'FY29'!AP15</f>
        <v>0</v>
      </c>
      <c r="AJ15" s="227">
        <f>'FY30'!AP15</f>
        <v>0</v>
      </c>
      <c r="AL15" s="227">
        <f>'FY26'!AX15</f>
        <v>15</v>
      </c>
      <c r="AM15" s="227">
        <f>'FY27'!AX15</f>
        <v>15</v>
      </c>
      <c r="AN15" s="227">
        <f>'FY28'!AX15</f>
        <v>15</v>
      </c>
      <c r="AO15" s="227">
        <f>'FY29'!AX15</f>
        <v>15</v>
      </c>
      <c r="AP15" s="227">
        <f>'FY30'!AX15</f>
        <v>15</v>
      </c>
      <c r="AR15" s="227">
        <f>'FY26'!BF15</f>
        <v>0</v>
      </c>
      <c r="AS15" s="227">
        <f>'FY27'!BF15</f>
        <v>0</v>
      </c>
      <c r="AT15" s="227">
        <f>'FY28'!BF15</f>
        <v>0</v>
      </c>
      <c r="AU15" s="227">
        <f>'FY29'!BF15</f>
        <v>0</v>
      </c>
      <c r="AV15" s="227">
        <f>'FY30'!BF15</f>
        <v>0</v>
      </c>
      <c r="AX15" s="227">
        <f>'FY26'!BN15</f>
        <v>423</v>
      </c>
      <c r="AY15" s="227">
        <f>'FY27'!BN15</f>
        <v>495</v>
      </c>
      <c r="AZ15" s="227">
        <f>'FY28'!BN15</f>
        <v>503</v>
      </c>
      <c r="BA15" s="227">
        <f>'FY29'!BN15</f>
        <v>508</v>
      </c>
      <c r="BB15" s="227">
        <f>'FY30'!BN15</f>
        <v>508</v>
      </c>
    </row>
    <row r="16" spans="1:54" x14ac:dyDescent="0.25">
      <c r="A16" s="185" t="s">
        <v>89</v>
      </c>
      <c r="B16" s="227">
        <f>'FY26'!B16</f>
        <v>0</v>
      </c>
      <c r="C16" s="227">
        <f>'FY27'!B16</f>
        <v>0</v>
      </c>
      <c r="D16" s="227">
        <f>'FY28'!B16</f>
        <v>0</v>
      </c>
      <c r="E16" s="227">
        <f>'FY29'!B16</f>
        <v>0</v>
      </c>
      <c r="F16" s="227">
        <f>'FY30'!B16</f>
        <v>0</v>
      </c>
      <c r="H16" s="227">
        <f>'FY26'!J16</f>
        <v>174</v>
      </c>
      <c r="I16" s="227">
        <f>'FY27'!J16</f>
        <v>174</v>
      </c>
      <c r="J16" s="227">
        <f>'FY28'!J16</f>
        <v>174</v>
      </c>
      <c r="K16" s="227">
        <f>'FY29'!J16</f>
        <v>174</v>
      </c>
      <c r="L16" s="227">
        <f>'FY30'!J16</f>
        <v>174</v>
      </c>
      <c r="N16" s="227">
        <f>'FY26'!R16</f>
        <v>0</v>
      </c>
      <c r="O16" s="227">
        <f>'FY27'!R16</f>
        <v>0</v>
      </c>
      <c r="P16" s="227">
        <f>'FY28'!R16</f>
        <v>0</v>
      </c>
      <c r="Q16" s="227">
        <f>'FY29'!R16</f>
        <v>0</v>
      </c>
      <c r="R16" s="227">
        <f>'FY30'!R16</f>
        <v>0</v>
      </c>
      <c r="T16" s="227">
        <f>'FY26'!Z16</f>
        <v>0</v>
      </c>
      <c r="U16" s="227">
        <f>'FY27'!Z16</f>
        <v>0</v>
      </c>
      <c r="V16" s="227">
        <f>'FY28'!Z16</f>
        <v>0</v>
      </c>
      <c r="W16" s="227">
        <f>'FY29'!Z16</f>
        <v>0</v>
      </c>
      <c r="X16" s="227">
        <f>'FY30'!Z16</f>
        <v>0</v>
      </c>
      <c r="Z16" s="227">
        <f>'FY26'!AH16</f>
        <v>189</v>
      </c>
      <c r="AA16" s="227">
        <f>'FY27'!AH16</f>
        <v>215</v>
      </c>
      <c r="AB16" s="227">
        <f>'FY28'!AH16</f>
        <v>285</v>
      </c>
      <c r="AC16" s="227">
        <f>'FY29'!AH16</f>
        <v>295</v>
      </c>
      <c r="AD16" s="227">
        <f>'FY30'!AH16</f>
        <v>295</v>
      </c>
      <c r="AF16" s="227">
        <f>'FY26'!AP16</f>
        <v>0</v>
      </c>
      <c r="AG16" s="227">
        <f>'FY27'!AP16</f>
        <v>0</v>
      </c>
      <c r="AH16" s="227">
        <f>'FY28'!AP16</f>
        <v>0</v>
      </c>
      <c r="AI16" s="227">
        <f>'FY29'!AP16</f>
        <v>0</v>
      </c>
      <c r="AJ16" s="227">
        <f>'FY30'!AP16</f>
        <v>0</v>
      </c>
      <c r="AL16" s="227">
        <f>'FY26'!AX16</f>
        <v>10</v>
      </c>
      <c r="AM16" s="227">
        <f>'FY27'!AX16</f>
        <v>10</v>
      </c>
      <c r="AN16" s="227">
        <f>'FY28'!AX16</f>
        <v>10</v>
      </c>
      <c r="AO16" s="227">
        <f>'FY29'!AX16</f>
        <v>10</v>
      </c>
      <c r="AP16" s="227">
        <f>'FY30'!AX16</f>
        <v>10</v>
      </c>
      <c r="AR16" s="227">
        <f>'FY26'!BF16</f>
        <v>0</v>
      </c>
      <c r="AS16" s="227">
        <f>'FY27'!BF16</f>
        <v>0</v>
      </c>
      <c r="AT16" s="227">
        <f>'FY28'!BF16</f>
        <v>0</v>
      </c>
      <c r="AU16" s="227">
        <f>'FY29'!BF16</f>
        <v>0</v>
      </c>
      <c r="AV16" s="227">
        <f>'FY30'!BF16</f>
        <v>0</v>
      </c>
      <c r="AX16" s="227">
        <f>'FY26'!BN16</f>
        <v>373</v>
      </c>
      <c r="AY16" s="227">
        <f>'FY27'!BN16</f>
        <v>399</v>
      </c>
      <c r="AZ16" s="227">
        <f>'FY28'!BN16</f>
        <v>469</v>
      </c>
      <c r="BA16" s="227">
        <f>'FY29'!BN16</f>
        <v>479</v>
      </c>
      <c r="BB16" s="227">
        <f>'FY30'!BN16</f>
        <v>479</v>
      </c>
    </row>
    <row r="17" spans="1:54" x14ac:dyDescent="0.25">
      <c r="A17" s="186" t="s">
        <v>75</v>
      </c>
      <c r="B17" s="221">
        <f>'FY26'!B17</f>
        <v>910</v>
      </c>
      <c r="C17" s="221">
        <f>'FY27'!B17</f>
        <v>927</v>
      </c>
      <c r="D17" s="221">
        <f>'FY28'!B17</f>
        <v>927</v>
      </c>
      <c r="E17" s="221">
        <f>'FY29'!B17</f>
        <v>927</v>
      </c>
      <c r="F17" s="221">
        <f>'FY30'!B17</f>
        <v>927</v>
      </c>
      <c r="H17" s="221">
        <f>'FY26'!J17</f>
        <v>2486</v>
      </c>
      <c r="I17" s="221">
        <f>'FY27'!J17</f>
        <v>2514</v>
      </c>
      <c r="J17" s="221">
        <f>'FY28'!J17</f>
        <v>2514</v>
      </c>
      <c r="K17" s="221">
        <f>'FY29'!J17</f>
        <v>2514</v>
      </c>
      <c r="L17" s="221">
        <f>'FY30'!J17</f>
        <v>2514</v>
      </c>
      <c r="N17" s="221">
        <f>'FY26'!R17</f>
        <v>1030</v>
      </c>
      <c r="O17" s="221">
        <f>'FY27'!R17</f>
        <v>1030</v>
      </c>
      <c r="P17" s="221">
        <f>'FY28'!R17</f>
        <v>1030</v>
      </c>
      <c r="Q17" s="221">
        <f>'FY29'!R17</f>
        <v>1030</v>
      </c>
      <c r="R17" s="221">
        <f>'FY30'!R17</f>
        <v>1030</v>
      </c>
      <c r="T17" s="221">
        <f>'FY26'!Z17</f>
        <v>1184</v>
      </c>
      <c r="U17" s="221">
        <f>'FY27'!Z17</f>
        <v>1198</v>
      </c>
      <c r="V17" s="221">
        <f>'FY28'!Z17</f>
        <v>1198</v>
      </c>
      <c r="W17" s="221">
        <f>'FY29'!Z17</f>
        <v>1198</v>
      </c>
      <c r="X17" s="221">
        <f>'FY30'!Z17</f>
        <v>1198</v>
      </c>
      <c r="Z17" s="221">
        <f>'FY26'!AH17</f>
        <v>2416</v>
      </c>
      <c r="AA17" s="221">
        <f>'FY27'!AH17</f>
        <v>2498</v>
      </c>
      <c r="AB17" s="221">
        <f>'FY28'!AH17</f>
        <v>2540</v>
      </c>
      <c r="AC17" s="221">
        <f>'FY29'!AH17</f>
        <v>2508</v>
      </c>
      <c r="AD17" s="221">
        <f>'FY30'!AH17</f>
        <v>2508</v>
      </c>
      <c r="AF17" s="221">
        <f>'FY26'!AP17</f>
        <v>370</v>
      </c>
      <c r="AG17" s="221">
        <f>'FY27'!AP17</f>
        <v>688</v>
      </c>
      <c r="AH17" s="221">
        <f>'FY28'!AP17</f>
        <v>814</v>
      </c>
      <c r="AI17" s="221">
        <f>'FY29'!AP17</f>
        <v>914</v>
      </c>
      <c r="AJ17" s="221">
        <f>'FY30'!AP17</f>
        <v>920</v>
      </c>
      <c r="AL17" s="221">
        <f>'FY26'!AX17</f>
        <v>140</v>
      </c>
      <c r="AM17" s="221">
        <f>'FY27'!AX17</f>
        <v>182</v>
      </c>
      <c r="AN17" s="221">
        <f>'FY28'!AX17</f>
        <v>182</v>
      </c>
      <c r="AO17" s="221">
        <f>'FY29'!AX17</f>
        <v>182</v>
      </c>
      <c r="AP17" s="221">
        <f>'FY30'!AX17</f>
        <v>182</v>
      </c>
      <c r="AR17" s="221">
        <f>'FY26'!BF17</f>
        <v>0</v>
      </c>
      <c r="AS17" s="221">
        <f>'FY27'!BF17</f>
        <v>0</v>
      </c>
      <c r="AT17" s="221">
        <f>'FY28'!BF17</f>
        <v>0</v>
      </c>
      <c r="AU17" s="221">
        <f>'FY29'!BF17</f>
        <v>0</v>
      </c>
      <c r="AV17" s="221">
        <f>'FY30'!BF17</f>
        <v>0</v>
      </c>
      <c r="AX17" s="221">
        <f>'FY26'!BN17</f>
        <v>8536</v>
      </c>
      <c r="AY17" s="221">
        <f>'FY27'!BN17</f>
        <v>9037</v>
      </c>
      <c r="AZ17" s="221">
        <f>'FY28'!BN17</f>
        <v>9205</v>
      </c>
      <c r="BA17" s="221">
        <f>'FY29'!BN17</f>
        <v>9273</v>
      </c>
      <c r="BB17" s="221">
        <f>'FY30'!BN17</f>
        <v>9279</v>
      </c>
    </row>
    <row r="20" spans="1:54" x14ac:dyDescent="0.25">
      <c r="A20" s="188" t="s">
        <v>173</v>
      </c>
      <c r="B20" s="228"/>
      <c r="C20" s="228"/>
      <c r="D20" s="228"/>
      <c r="E20" s="228"/>
      <c r="F20" s="228"/>
      <c r="H20" s="228"/>
      <c r="I20" s="228"/>
      <c r="J20" s="228"/>
      <c r="K20" s="228"/>
      <c r="L20" s="228"/>
      <c r="N20" s="228"/>
      <c r="O20" s="228"/>
      <c r="P20" s="228"/>
      <c r="Q20" s="228"/>
      <c r="R20" s="228"/>
      <c r="T20" s="228"/>
      <c r="U20" s="228"/>
      <c r="V20" s="228"/>
      <c r="W20" s="228"/>
      <c r="X20" s="228"/>
      <c r="Z20" s="228"/>
      <c r="AA20" s="228"/>
      <c r="AB20" s="228"/>
      <c r="AC20" s="228"/>
      <c r="AD20" s="228"/>
      <c r="AF20" s="228"/>
      <c r="AG20" s="228"/>
      <c r="AH20" s="228"/>
      <c r="AI20" s="228"/>
      <c r="AJ20" s="228"/>
      <c r="AL20" s="228"/>
      <c r="AM20" s="228"/>
      <c r="AN20" s="228"/>
      <c r="AO20" s="228"/>
      <c r="AP20" s="228"/>
      <c r="AR20" s="228"/>
      <c r="AS20" s="228"/>
      <c r="AT20" s="228"/>
      <c r="AU20" s="228"/>
      <c r="AV20" s="228"/>
      <c r="AX20" s="228"/>
      <c r="AY20" s="228"/>
      <c r="AZ20" s="228"/>
      <c r="BA20" s="228"/>
      <c r="BB20" s="228"/>
    </row>
    <row r="21" spans="1:54" x14ac:dyDescent="0.25">
      <c r="A21" s="185" t="s">
        <v>174</v>
      </c>
      <c r="B21" s="227">
        <f>'FY26'!H21</f>
        <v>112</v>
      </c>
      <c r="C21" s="227">
        <f>'FY27'!H21</f>
        <v>112</v>
      </c>
      <c r="D21" s="227">
        <f>'FY28'!H21</f>
        <v>112</v>
      </c>
      <c r="E21" s="227">
        <f>'FY29'!H21</f>
        <v>112</v>
      </c>
      <c r="F21" s="227">
        <f>'FY30'!H21</f>
        <v>112</v>
      </c>
      <c r="H21" s="227">
        <f>'FY26'!P21</f>
        <v>285</v>
      </c>
      <c r="I21" s="227">
        <f>'FY27'!P21</f>
        <v>285</v>
      </c>
      <c r="J21" s="227">
        <f>'FY28'!P21</f>
        <v>285</v>
      </c>
      <c r="K21" s="227">
        <f>'FY29'!P21</f>
        <v>285</v>
      </c>
      <c r="L21" s="227">
        <f>'FY30'!P21</f>
        <v>285</v>
      </c>
      <c r="N21" s="227">
        <f>'FY26'!X21</f>
        <v>80</v>
      </c>
      <c r="O21" s="227">
        <f>'FY27'!X21</f>
        <v>80</v>
      </c>
      <c r="P21" s="227">
        <f>'FY28'!X21</f>
        <v>80</v>
      </c>
      <c r="Q21" s="227">
        <f>'FY29'!X21</f>
        <v>80</v>
      </c>
      <c r="R21" s="227">
        <f>'FY30'!X21</f>
        <v>80</v>
      </c>
      <c r="T21" s="227">
        <f>'FY26'!AF21</f>
        <v>100</v>
      </c>
      <c r="U21" s="227">
        <f>'FY27'!AF21</f>
        <v>100</v>
      </c>
      <c r="V21" s="227">
        <f>'FY28'!AF21</f>
        <v>100</v>
      </c>
      <c r="W21" s="227">
        <f>'FY29'!AF21</f>
        <v>100</v>
      </c>
      <c r="X21" s="227">
        <f>'FY30'!AF21</f>
        <v>100</v>
      </c>
      <c r="Z21" s="227">
        <f>'FY26'!AN21</f>
        <v>197</v>
      </c>
      <c r="AA21" s="227">
        <f>'FY27'!AN21</f>
        <v>205</v>
      </c>
      <c r="AB21" s="227">
        <f>'FY28'!AN21</f>
        <v>215</v>
      </c>
      <c r="AC21" s="227">
        <f>'FY29'!AN21</f>
        <v>215</v>
      </c>
      <c r="AD21" s="227">
        <f>'FY30'!AN21</f>
        <v>215</v>
      </c>
      <c r="AF21" s="227">
        <f>'FY26'!AV21</f>
        <v>28</v>
      </c>
      <c r="AG21" s="227">
        <f>'FY27'!AV21</f>
        <v>35</v>
      </c>
      <c r="AH21" s="227">
        <f>'FY28'!AV21</f>
        <v>84</v>
      </c>
      <c r="AI21" s="227">
        <f>'FY29'!AV21</f>
        <v>96</v>
      </c>
      <c r="AJ21" s="227">
        <f>'FY30'!AV21</f>
        <v>108</v>
      </c>
      <c r="AL21" s="227">
        <f>'FY26'!BD21</f>
        <v>21</v>
      </c>
      <c r="AM21" s="227">
        <f>'FY27'!BD21</f>
        <v>21</v>
      </c>
      <c r="AN21" s="227">
        <f>'FY28'!BD21</f>
        <v>21</v>
      </c>
      <c r="AO21" s="227">
        <f>'FY29'!BD21</f>
        <v>21</v>
      </c>
      <c r="AP21" s="227">
        <f>'FY30'!BD21</f>
        <v>21</v>
      </c>
      <c r="AR21" s="227">
        <f>'FY26'!BL21</f>
        <v>0</v>
      </c>
      <c r="AS21" s="227">
        <f>'FY27'!BL21</f>
        <v>0</v>
      </c>
      <c r="AT21" s="227">
        <f>'FY28'!BL21</f>
        <v>0</v>
      </c>
      <c r="AU21" s="227">
        <f>'FY29'!BL21</f>
        <v>0</v>
      </c>
      <c r="AV21" s="227">
        <f>'FY30'!BL21</f>
        <v>0</v>
      </c>
      <c r="AX21" s="227">
        <f>'FY26'!BT21</f>
        <v>823</v>
      </c>
      <c r="AY21" s="227">
        <f>'FY27'!BT21</f>
        <v>838</v>
      </c>
      <c r="AZ21" s="227">
        <f>'FY28'!BT21</f>
        <v>897</v>
      </c>
      <c r="BA21" s="227">
        <f>'FY29'!BT21</f>
        <v>909</v>
      </c>
      <c r="BB21" s="227">
        <f>'FY30'!BT21</f>
        <v>921</v>
      </c>
    </row>
    <row r="22" spans="1:54" x14ac:dyDescent="0.25">
      <c r="A22" s="185" t="s">
        <v>175</v>
      </c>
      <c r="B22" s="227">
        <f>'FY26'!H22</f>
        <v>35</v>
      </c>
      <c r="C22" s="227">
        <f>'FY27'!H22</f>
        <v>35</v>
      </c>
      <c r="D22" s="227">
        <f>'FY28'!H22</f>
        <v>35</v>
      </c>
      <c r="E22" s="227">
        <f>'FY29'!H22</f>
        <v>35</v>
      </c>
      <c r="F22" s="227">
        <f>'FY30'!H22</f>
        <v>35</v>
      </c>
      <c r="H22" s="227">
        <f>'FY26'!P22</f>
        <v>50</v>
      </c>
      <c r="I22" s="227">
        <f>'FY27'!P22</f>
        <v>50</v>
      </c>
      <c r="J22" s="227">
        <f>'FY28'!P22</f>
        <v>50</v>
      </c>
      <c r="K22" s="227">
        <f>'FY29'!P22</f>
        <v>50</v>
      </c>
      <c r="L22" s="227">
        <f>'FY30'!P22</f>
        <v>50</v>
      </c>
      <c r="N22" s="227">
        <f>'FY26'!X22</f>
        <v>22</v>
      </c>
      <c r="O22" s="227">
        <f>'FY27'!X22</f>
        <v>22</v>
      </c>
      <c r="P22" s="227">
        <f>'FY28'!X22</f>
        <v>22</v>
      </c>
      <c r="Q22" s="227">
        <f>'FY29'!X22</f>
        <v>22</v>
      </c>
      <c r="R22" s="227">
        <f>'FY30'!X22</f>
        <v>22</v>
      </c>
      <c r="T22" s="227">
        <f>'FY26'!AF22</f>
        <v>42</v>
      </c>
      <c r="U22" s="227">
        <f>'FY27'!AF22</f>
        <v>42</v>
      </c>
      <c r="V22" s="227">
        <f>'FY28'!AF22</f>
        <v>42</v>
      </c>
      <c r="W22" s="227">
        <f>'FY29'!AF22</f>
        <v>42</v>
      </c>
      <c r="X22" s="227">
        <f>'FY30'!AF22</f>
        <v>42</v>
      </c>
      <c r="Z22" s="227">
        <f>'FY26'!AN22</f>
        <v>45</v>
      </c>
      <c r="AA22" s="227">
        <f>'FY27'!AN22</f>
        <v>45</v>
      </c>
      <c r="AB22" s="227">
        <f>'FY28'!AN22</f>
        <v>45</v>
      </c>
      <c r="AC22" s="227">
        <f>'FY29'!AN22</f>
        <v>45</v>
      </c>
      <c r="AD22" s="227">
        <f>'FY30'!AN22</f>
        <v>45</v>
      </c>
      <c r="AF22" s="227">
        <f>'FY26'!AV22</f>
        <v>28</v>
      </c>
      <c r="AG22" s="227">
        <f>'FY27'!AV22</f>
        <v>33</v>
      </c>
      <c r="AH22" s="227">
        <f>'FY28'!AV22</f>
        <v>45</v>
      </c>
      <c r="AI22" s="227">
        <f>'FY29'!AV22</f>
        <v>47</v>
      </c>
      <c r="AJ22" s="227">
        <f>'FY30'!AV22</f>
        <v>50</v>
      </c>
      <c r="AL22" s="227">
        <f>'FY26'!BD22</f>
        <v>2</v>
      </c>
      <c r="AM22" s="227">
        <f>'FY27'!BD22</f>
        <v>2</v>
      </c>
      <c r="AN22" s="227">
        <f>'FY28'!BD22</f>
        <v>2</v>
      </c>
      <c r="AO22" s="227">
        <f>'FY29'!BD22</f>
        <v>2</v>
      </c>
      <c r="AP22" s="227">
        <f>'FY30'!BD22</f>
        <v>2</v>
      </c>
      <c r="AR22" s="227">
        <f>'FY26'!BL22</f>
        <v>0</v>
      </c>
      <c r="AS22" s="227">
        <f>'FY27'!BL22</f>
        <v>0</v>
      </c>
      <c r="AT22" s="227">
        <f>'FY28'!BL22</f>
        <v>0</v>
      </c>
      <c r="AU22" s="227">
        <f>'FY29'!BL22</f>
        <v>0</v>
      </c>
      <c r="AV22" s="227">
        <f>'FY30'!BL22</f>
        <v>0</v>
      </c>
      <c r="AX22" s="227">
        <f>'FY26'!BT22</f>
        <v>224</v>
      </c>
      <c r="AY22" s="227">
        <f>'FY27'!BT22</f>
        <v>229</v>
      </c>
      <c r="AZ22" s="227">
        <f>'FY28'!BT22</f>
        <v>241</v>
      </c>
      <c r="BA22" s="227">
        <f>'FY29'!BT22</f>
        <v>243</v>
      </c>
      <c r="BB22" s="227">
        <f>'FY30'!BT22</f>
        <v>246</v>
      </c>
    </row>
    <row r="23" spans="1:54" x14ac:dyDescent="0.25">
      <c r="A23" s="185" t="s">
        <v>176</v>
      </c>
      <c r="B23" s="227">
        <f>'FY26'!H23</f>
        <v>33</v>
      </c>
      <c r="C23" s="227">
        <f>'FY27'!H23</f>
        <v>33</v>
      </c>
      <c r="D23" s="227">
        <f>'FY28'!H23</f>
        <v>33</v>
      </c>
      <c r="E23" s="227">
        <f>'FY29'!H23</f>
        <v>33</v>
      </c>
      <c r="F23" s="227">
        <f>'FY30'!H23</f>
        <v>33</v>
      </c>
      <c r="H23" s="227">
        <f>'FY26'!P23</f>
        <v>40</v>
      </c>
      <c r="I23" s="227">
        <f>'FY27'!P23</f>
        <v>40</v>
      </c>
      <c r="J23" s="227">
        <f>'FY28'!P23</f>
        <v>40</v>
      </c>
      <c r="K23" s="227">
        <f>'FY29'!P23</f>
        <v>40</v>
      </c>
      <c r="L23" s="227">
        <f>'FY30'!P23</f>
        <v>40</v>
      </c>
      <c r="N23" s="227">
        <f>'FY26'!X23</f>
        <v>67</v>
      </c>
      <c r="O23" s="227">
        <f>'FY27'!X23</f>
        <v>67</v>
      </c>
      <c r="P23" s="227">
        <f>'FY28'!X23</f>
        <v>67</v>
      </c>
      <c r="Q23" s="227">
        <f>'FY29'!X23</f>
        <v>67</v>
      </c>
      <c r="R23" s="227">
        <f>'FY30'!X23</f>
        <v>67</v>
      </c>
      <c r="T23" s="227">
        <f>'FY26'!AF23</f>
        <v>56</v>
      </c>
      <c r="U23" s="227">
        <f>'FY27'!AF23</f>
        <v>56</v>
      </c>
      <c r="V23" s="227">
        <f>'FY28'!AF23</f>
        <v>56</v>
      </c>
      <c r="W23" s="227">
        <f>'FY29'!AF23</f>
        <v>56</v>
      </c>
      <c r="X23" s="227">
        <f>'FY30'!AF23</f>
        <v>56</v>
      </c>
      <c r="Z23" s="227">
        <f>'FY26'!AN23</f>
        <v>89</v>
      </c>
      <c r="AA23" s="227">
        <f>'FY27'!AN23</f>
        <v>89</v>
      </c>
      <c r="AB23" s="227">
        <f>'FY28'!AN23</f>
        <v>89</v>
      </c>
      <c r="AC23" s="227">
        <f>'FY29'!AN23</f>
        <v>89</v>
      </c>
      <c r="AD23" s="227">
        <f>'FY30'!AN23</f>
        <v>89</v>
      </c>
      <c r="AF23" s="227">
        <f>'FY26'!AV23</f>
        <v>0</v>
      </c>
      <c r="AG23" s="227">
        <f>'FY27'!AV23</f>
        <v>0</v>
      </c>
      <c r="AH23" s="227">
        <f>'FY28'!AV23</f>
        <v>0</v>
      </c>
      <c r="AI23" s="227">
        <f>'FY29'!AV23</f>
        <v>0</v>
      </c>
      <c r="AJ23" s="227">
        <f>'FY30'!AV23</f>
        <v>0</v>
      </c>
      <c r="AL23" s="227">
        <f>'FY26'!BD23</f>
        <v>0</v>
      </c>
      <c r="AM23" s="227">
        <f>'FY27'!BD23</f>
        <v>0</v>
      </c>
      <c r="AN23" s="227">
        <f>'FY28'!BD23</f>
        <v>0</v>
      </c>
      <c r="AO23" s="227">
        <f>'FY29'!BD23</f>
        <v>0</v>
      </c>
      <c r="AP23" s="227">
        <f>'FY30'!BD23</f>
        <v>0</v>
      </c>
      <c r="AR23" s="227">
        <f>'FY26'!BL23</f>
        <v>0</v>
      </c>
      <c r="AS23" s="227">
        <f>'FY27'!BL23</f>
        <v>0</v>
      </c>
      <c r="AT23" s="227">
        <f>'FY28'!BL23</f>
        <v>0</v>
      </c>
      <c r="AU23" s="227">
        <f>'FY29'!BL23</f>
        <v>0</v>
      </c>
      <c r="AV23" s="227">
        <f>'FY30'!BL23</f>
        <v>0</v>
      </c>
      <c r="AX23" s="227">
        <f>'FY26'!BT23</f>
        <v>285</v>
      </c>
      <c r="AY23" s="227">
        <f>'FY27'!BT23</f>
        <v>285</v>
      </c>
      <c r="AZ23" s="227">
        <f>'FY28'!BT23</f>
        <v>285</v>
      </c>
      <c r="BA23" s="227">
        <f>'FY29'!BT23</f>
        <v>285</v>
      </c>
      <c r="BB23" s="227">
        <f>'FY30'!BT23</f>
        <v>285</v>
      </c>
    </row>
    <row r="24" spans="1:54" x14ac:dyDescent="0.25">
      <c r="A24" s="185" t="s">
        <v>177</v>
      </c>
      <c r="B24" s="227">
        <f>'FY26'!H24</f>
        <v>0</v>
      </c>
      <c r="C24" s="227">
        <f>'FY27'!H24</f>
        <v>20</v>
      </c>
      <c r="D24" s="227">
        <f>'FY28'!H24</f>
        <v>20</v>
      </c>
      <c r="E24" s="227">
        <f>'FY29'!H24</f>
        <v>20</v>
      </c>
      <c r="F24" s="227">
        <f>'FY30'!H24</f>
        <v>20</v>
      </c>
      <c r="H24" s="227">
        <f>'FY26'!P24</f>
        <v>55</v>
      </c>
      <c r="I24" s="227">
        <f>'FY27'!P24</f>
        <v>115</v>
      </c>
      <c r="J24" s="227">
        <f>'FY28'!P24</f>
        <v>115</v>
      </c>
      <c r="K24" s="227">
        <f>'FY29'!P24</f>
        <v>115</v>
      </c>
      <c r="L24" s="227">
        <f>'FY30'!P24</f>
        <v>115</v>
      </c>
      <c r="N24" s="227">
        <f>'FY26'!X24</f>
        <v>0</v>
      </c>
      <c r="O24" s="227">
        <f>'FY27'!X24</f>
        <v>8</v>
      </c>
      <c r="P24" s="227">
        <f>'FY28'!X24</f>
        <v>8</v>
      </c>
      <c r="Q24" s="227">
        <f>'FY29'!X24</f>
        <v>8</v>
      </c>
      <c r="R24" s="227">
        <f>'FY30'!X24</f>
        <v>8</v>
      </c>
      <c r="T24" s="227">
        <f>'FY26'!AF24</f>
        <v>0</v>
      </c>
      <c r="U24" s="227">
        <f>'FY27'!AF24</f>
        <v>0</v>
      </c>
      <c r="V24" s="227">
        <f>'FY28'!AF24</f>
        <v>0</v>
      </c>
      <c r="W24" s="227">
        <f>'FY29'!AF24</f>
        <v>0</v>
      </c>
      <c r="X24" s="227">
        <f>'FY30'!AF24</f>
        <v>0</v>
      </c>
      <c r="Z24" s="227">
        <f>'FY26'!AN24</f>
        <v>45</v>
      </c>
      <c r="AA24" s="227">
        <f>'FY27'!AN24</f>
        <v>80</v>
      </c>
      <c r="AB24" s="227">
        <f>'FY28'!AN24</f>
        <v>80</v>
      </c>
      <c r="AC24" s="227">
        <f>'FY29'!AN24</f>
        <v>80</v>
      </c>
      <c r="AD24" s="227">
        <f>'FY30'!AN24</f>
        <v>80</v>
      </c>
      <c r="AF24" s="227">
        <f>'FY26'!AV24</f>
        <v>10</v>
      </c>
      <c r="AG24" s="227">
        <f>'FY27'!AV24</f>
        <v>25</v>
      </c>
      <c r="AH24" s="227">
        <f>'FY28'!AV24</f>
        <v>65</v>
      </c>
      <c r="AI24" s="227">
        <f>'FY29'!AV24</f>
        <v>75</v>
      </c>
      <c r="AJ24" s="227">
        <f>'FY30'!AV24</f>
        <v>85</v>
      </c>
      <c r="AL24" s="227">
        <f>'FY26'!BD24</f>
        <v>2</v>
      </c>
      <c r="AM24" s="227">
        <f>'FY27'!BD24</f>
        <v>15</v>
      </c>
      <c r="AN24" s="227">
        <f>'FY28'!BD24</f>
        <v>15</v>
      </c>
      <c r="AO24" s="227">
        <f>'FY29'!BD24</f>
        <v>15</v>
      </c>
      <c r="AP24" s="227">
        <f>'FY30'!BD24</f>
        <v>15</v>
      </c>
      <c r="AR24" s="227">
        <f>'FY26'!BL24</f>
        <v>0</v>
      </c>
      <c r="AS24" s="227">
        <f>'FY27'!BL24</f>
        <v>0</v>
      </c>
      <c r="AT24" s="227">
        <f>'FY28'!BL24</f>
        <v>0</v>
      </c>
      <c r="AU24" s="227">
        <f>'FY29'!BL24</f>
        <v>0</v>
      </c>
      <c r="AV24" s="227">
        <f>'FY30'!BL24</f>
        <v>0</v>
      </c>
      <c r="AX24" s="227">
        <f>'FY26'!BT24</f>
        <v>112</v>
      </c>
      <c r="AY24" s="227">
        <f>'FY27'!BT24</f>
        <v>263</v>
      </c>
      <c r="AZ24" s="227">
        <f>'FY28'!BT24</f>
        <v>303</v>
      </c>
      <c r="BA24" s="227">
        <f>'FY29'!BT24</f>
        <v>313</v>
      </c>
      <c r="BB24" s="227">
        <f>'FY30'!BT24</f>
        <v>323</v>
      </c>
    </row>
    <row r="25" spans="1:54" x14ac:dyDescent="0.25">
      <c r="A25" s="185" t="s">
        <v>178</v>
      </c>
      <c r="B25" s="230">
        <f>'FY26'!H25</f>
        <v>0.06</v>
      </c>
      <c r="C25" s="230">
        <f>'FY27'!H25</f>
        <v>0.06</v>
      </c>
      <c r="D25" s="230">
        <f>'FY28'!H25</f>
        <v>0.06</v>
      </c>
      <c r="E25" s="230">
        <f>'FY29'!H25</f>
        <v>0.06</v>
      </c>
      <c r="F25" s="230">
        <f>'FY30'!H25</f>
        <v>0.06</v>
      </c>
      <c r="H25" s="230">
        <f>'FY26'!P25</f>
        <v>0.2828</v>
      </c>
      <c r="I25" s="230">
        <f>'FY27'!P25</f>
        <v>0.2828</v>
      </c>
      <c r="J25" s="230">
        <f>'FY28'!P25</f>
        <v>0.2828</v>
      </c>
      <c r="K25" s="230">
        <f>'FY29'!P25</f>
        <v>0.2828</v>
      </c>
      <c r="L25" s="230">
        <f>'FY30'!P25</f>
        <v>0.2828</v>
      </c>
      <c r="N25" s="230">
        <f>'FY26'!X25</f>
        <v>0.2828</v>
      </c>
      <c r="O25" s="230">
        <f>'FY27'!X25</f>
        <v>0.2828</v>
      </c>
      <c r="P25" s="230">
        <f>'FY28'!X25</f>
        <v>0.2828</v>
      </c>
      <c r="Q25" s="230">
        <f>'FY29'!X25</f>
        <v>0.2828</v>
      </c>
      <c r="R25" s="230">
        <f>'FY30'!X25</f>
        <v>0.2828</v>
      </c>
      <c r="T25" s="230">
        <f>'FY26'!AF25</f>
        <v>0.2455</v>
      </c>
      <c r="U25" s="230">
        <f>'FY27'!AF25</f>
        <v>0.2455</v>
      </c>
      <c r="V25" s="230">
        <f>'FY28'!AF25</f>
        <v>0.2455</v>
      </c>
      <c r="W25" s="230">
        <f>'FY29'!AF25</f>
        <v>0.2455</v>
      </c>
      <c r="X25" s="230">
        <f>'FY30'!AF25</f>
        <v>0.2455</v>
      </c>
      <c r="Z25" s="230">
        <f>'FY26'!AN25</f>
        <v>0.1958</v>
      </c>
      <c r="AA25" s="230">
        <f>'FY27'!AN25</f>
        <v>0.1958</v>
      </c>
      <c r="AB25" s="230">
        <f>'FY28'!AN25</f>
        <v>0.1958</v>
      </c>
      <c r="AC25" s="230">
        <f>'FY29'!AN25</f>
        <v>0.1958</v>
      </c>
      <c r="AD25" s="230">
        <f>'FY30'!AN25</f>
        <v>0.1958</v>
      </c>
      <c r="AF25" s="230">
        <f>'FY26'!AV25</f>
        <v>1</v>
      </c>
      <c r="AG25" s="230">
        <f>'FY27'!AV25</f>
        <v>1</v>
      </c>
      <c r="AH25" s="230">
        <f>'FY28'!AV25</f>
        <v>1</v>
      </c>
      <c r="AI25" s="230">
        <f>'FY29'!AV25</f>
        <v>1</v>
      </c>
      <c r="AJ25" s="230">
        <f>'FY30'!AV25</f>
        <v>1</v>
      </c>
      <c r="AL25" s="230">
        <f>'FY26'!BD25</f>
        <v>0.37409999999999999</v>
      </c>
      <c r="AM25" s="230">
        <f>'FY27'!BD25</f>
        <v>0.37409999999999999</v>
      </c>
      <c r="AN25" s="230">
        <f>'FY28'!BD25</f>
        <v>0.37409999999999999</v>
      </c>
      <c r="AO25" s="230">
        <f>'FY29'!BD25</f>
        <v>0.37409999999999999</v>
      </c>
      <c r="AP25" s="230">
        <f>'FY30'!BD25</f>
        <v>0.37409999999999999</v>
      </c>
      <c r="AR25" s="230">
        <f>'FY26'!BL25</f>
        <v>0</v>
      </c>
      <c r="AS25" s="230">
        <f>'FY27'!BL25</f>
        <v>0</v>
      </c>
      <c r="AT25" s="230">
        <f>'FY28'!BL25</f>
        <v>0</v>
      </c>
      <c r="AU25" s="230">
        <f>'FY29'!BL25</f>
        <v>0</v>
      </c>
      <c r="AV25" s="230">
        <f>'FY30'!BL25</f>
        <v>0</v>
      </c>
      <c r="AX25" s="230">
        <f>'FY26'!BT25</f>
        <v>0</v>
      </c>
      <c r="AY25" s="230">
        <f>'FY27'!BT25</f>
        <v>0</v>
      </c>
      <c r="AZ25" s="230">
        <f>'FY28'!BT25</f>
        <v>0</v>
      </c>
      <c r="BA25" s="230">
        <f>'FY29'!BT25</f>
        <v>0</v>
      </c>
      <c r="BB25" s="230">
        <f>'FY30'!BT25</f>
        <v>0</v>
      </c>
    </row>
    <row r="26" spans="1:54" x14ac:dyDescent="0.25">
      <c r="A26" s="189" t="s">
        <v>179</v>
      </c>
      <c r="B26" s="228" t="str">
        <f>'FY26'!H26</f>
        <v>Total (25-26)</v>
      </c>
      <c r="C26" s="228" t="str">
        <f>'FY27'!H26</f>
        <v>Horizon</v>
      </c>
      <c r="D26" s="228" t="str">
        <f>'FY28'!H26</f>
        <v>Horizon</v>
      </c>
      <c r="E26" s="228" t="str">
        <f>'FY29'!H26</f>
        <v>Horizon</v>
      </c>
      <c r="F26" s="228" t="str">
        <f>'FY30'!H26</f>
        <v>Horizon</v>
      </c>
      <c r="H26" s="228" t="str">
        <f>'FY26'!P26</f>
        <v>Cadence</v>
      </c>
      <c r="I26" s="228" t="str">
        <f>'FY27'!P26</f>
        <v>Cadence</v>
      </c>
      <c r="J26" s="228" t="str">
        <f>'FY28'!P26</f>
        <v>Cadence</v>
      </c>
      <c r="K26" s="228" t="str">
        <f>'FY29'!P26</f>
        <v>Cadence</v>
      </c>
      <c r="L26" s="228" t="str">
        <f>'FY30'!P26</f>
        <v>Cadence</v>
      </c>
      <c r="N26" s="228" t="str">
        <f>'FY26'!X26</f>
        <v>St. Rose</v>
      </c>
      <c r="O26" s="228" t="str">
        <f>'FY27'!X26</f>
        <v>St. Rose</v>
      </c>
      <c r="P26" s="228" t="str">
        <f>'FY28'!X26</f>
        <v>St. Rose</v>
      </c>
      <c r="Q26" s="228" t="str">
        <f>'FY29'!X26</f>
        <v>St. Rose</v>
      </c>
      <c r="R26" s="228" t="str">
        <f>'FY30'!X26</f>
        <v>St. Rose</v>
      </c>
      <c r="T26" s="228" t="str">
        <f>'FY26'!AF26</f>
        <v>Inspirada</v>
      </c>
      <c r="U26" s="228" t="str">
        <f>'FY27'!AF26</f>
        <v>Inspirada</v>
      </c>
      <c r="V26" s="228" t="str">
        <f>'FY28'!AF26</f>
        <v>Inspirada</v>
      </c>
      <c r="W26" s="228" t="str">
        <f>'FY29'!AF26</f>
        <v>Inspirada</v>
      </c>
      <c r="X26" s="228" t="str">
        <f>'FY30'!AF26</f>
        <v>Inspirada</v>
      </c>
      <c r="Z26" s="228" t="str">
        <f>'FY26'!AN26</f>
        <v>Sloan</v>
      </c>
      <c r="AA26" s="228" t="str">
        <f>'FY27'!AN26</f>
        <v>Sloan</v>
      </c>
      <c r="AB26" s="228" t="str">
        <f>'FY28'!AN26</f>
        <v>Sloan</v>
      </c>
      <c r="AC26" s="228" t="str">
        <f>'FY29'!AN26</f>
        <v>Sloan</v>
      </c>
      <c r="AD26" s="228" t="str">
        <f>'FY30'!AN26</f>
        <v>Sloan</v>
      </c>
      <c r="AF26" s="228" t="str">
        <f>'FY26'!AV26</f>
        <v>Springs</v>
      </c>
      <c r="AG26" s="228" t="str">
        <f>'FY27'!AV26</f>
        <v>Springs</v>
      </c>
      <c r="AH26" s="228" t="str">
        <f>'FY28'!AV26</f>
        <v>Springs</v>
      </c>
      <c r="AI26" s="228" t="str">
        <f>'FY29'!AV26</f>
        <v>Springs</v>
      </c>
      <c r="AJ26" s="228" t="str">
        <f>'FY30'!AV26</f>
        <v>Springs</v>
      </c>
      <c r="AL26" s="228" t="str">
        <f>'FY26'!BD26</f>
        <v>Virtual</v>
      </c>
      <c r="AM26" s="228" t="str">
        <f>'FY27'!BD26</f>
        <v>Virtual</v>
      </c>
      <c r="AN26" s="228" t="str">
        <f>'FY28'!BD26</f>
        <v>Virtual</v>
      </c>
      <c r="AO26" s="228" t="str">
        <f>'FY29'!BD26</f>
        <v>Virtual</v>
      </c>
      <c r="AP26" s="228" t="str">
        <f>'FY30'!BD26</f>
        <v>Virtual</v>
      </c>
      <c r="AR26" s="228" t="str">
        <f>'FY26'!BL26</f>
        <v>Central</v>
      </c>
      <c r="AS26" s="228" t="str">
        <f>'FY27'!BL26</f>
        <v>Central</v>
      </c>
      <c r="AT26" s="228" t="str">
        <f>'FY28'!BL26</f>
        <v>Central</v>
      </c>
      <c r="AU26" s="228" t="str">
        <f>'FY29'!BL26</f>
        <v>Central</v>
      </c>
      <c r="AV26" s="228" t="str">
        <f>'FY30'!BL26</f>
        <v>Central</v>
      </c>
      <c r="AX26" s="228" t="str">
        <f>'FY26'!BT26</f>
        <v>System</v>
      </c>
      <c r="AY26" s="228" t="str">
        <f>'FY27'!BT26</f>
        <v>System</v>
      </c>
      <c r="AZ26" s="228" t="str">
        <f>'FY28'!BT26</f>
        <v>System</v>
      </c>
      <c r="BA26" s="228" t="str">
        <f>'FY29'!BT26</f>
        <v>System</v>
      </c>
      <c r="BB26" s="228" t="str">
        <f>'FY30'!BT26</f>
        <v>System</v>
      </c>
    </row>
    <row r="27" spans="1:54" x14ac:dyDescent="0.25">
      <c r="A27" s="190" t="s">
        <v>180</v>
      </c>
      <c r="B27" s="232">
        <f>'FY26'!H27</f>
        <v>35</v>
      </c>
      <c r="C27" s="232">
        <f>'FY27'!H27</f>
        <v>36</v>
      </c>
      <c r="D27" s="232">
        <f>'FY28'!H27</f>
        <v>36</v>
      </c>
      <c r="E27" s="232">
        <f>'FY29'!H27</f>
        <v>36</v>
      </c>
      <c r="F27" s="232">
        <f>'FY30'!H27</f>
        <v>36</v>
      </c>
      <c r="H27" s="232">
        <f>'FY26'!P27</f>
        <v>84</v>
      </c>
      <c r="I27" s="232">
        <f>'FY27'!P27</f>
        <v>85</v>
      </c>
      <c r="J27" s="232">
        <f>'FY28'!P27</f>
        <v>85</v>
      </c>
      <c r="K27" s="232">
        <f>'FY29'!P27</f>
        <v>85</v>
      </c>
      <c r="L27" s="232">
        <f>'FY30'!P27</f>
        <v>85</v>
      </c>
      <c r="N27" s="232">
        <f>'FY26'!X27</f>
        <v>36</v>
      </c>
      <c r="O27" s="232">
        <f>'FY27'!X27</f>
        <v>36</v>
      </c>
      <c r="P27" s="232">
        <f>'FY28'!X27</f>
        <v>36</v>
      </c>
      <c r="Q27" s="232">
        <f>'FY29'!X27</f>
        <v>36</v>
      </c>
      <c r="R27" s="232">
        <f>'FY30'!X27</f>
        <v>36</v>
      </c>
      <c r="T27" s="232">
        <f>'FY26'!AF27</f>
        <v>46</v>
      </c>
      <c r="U27" s="232">
        <f>'FY27'!AF27</f>
        <v>46</v>
      </c>
      <c r="V27" s="232">
        <f>'FY28'!AF27</f>
        <v>46</v>
      </c>
      <c r="W27" s="232">
        <f>'FY29'!AF27</f>
        <v>46</v>
      </c>
      <c r="X27" s="232">
        <f>'FY30'!AF27</f>
        <v>46</v>
      </c>
      <c r="Z27" s="232">
        <f>'FY26'!AN27</f>
        <v>84</v>
      </c>
      <c r="AA27" s="232">
        <f>'FY27'!AN27</f>
        <v>86</v>
      </c>
      <c r="AB27" s="232">
        <f>'FY28'!AN27</f>
        <v>87</v>
      </c>
      <c r="AC27" s="232">
        <f>'FY29'!AN27</f>
        <v>85</v>
      </c>
      <c r="AD27" s="232">
        <f>'FY30'!AN27</f>
        <v>85</v>
      </c>
      <c r="AF27" s="232">
        <f>'FY26'!AV27</f>
        <v>15</v>
      </c>
      <c r="AG27" s="232">
        <f>'FY27'!AV27</f>
        <v>26</v>
      </c>
      <c r="AH27" s="232">
        <f>'FY28'!AV27</f>
        <v>30</v>
      </c>
      <c r="AI27" s="232">
        <f>'FY29'!AV27</f>
        <v>33</v>
      </c>
      <c r="AJ27" s="232">
        <f>'FY30'!AV27</f>
        <v>33</v>
      </c>
      <c r="AL27" s="232">
        <f>'FY26'!BD27</f>
        <v>0</v>
      </c>
      <c r="AM27" s="232">
        <f>'FY27'!BD27</f>
        <v>0</v>
      </c>
      <c r="AN27" s="232">
        <f>'FY28'!BD27</f>
        <v>0</v>
      </c>
      <c r="AO27" s="232">
        <f>'FY29'!BD27</f>
        <v>0</v>
      </c>
      <c r="AP27" s="232">
        <f>'FY30'!BD27</f>
        <v>0</v>
      </c>
      <c r="AR27" s="232">
        <f>'FY26'!BL27</f>
        <v>0</v>
      </c>
      <c r="AS27" s="232">
        <f>'FY27'!BL27</f>
        <v>0</v>
      </c>
      <c r="AT27" s="232">
        <f>'FY28'!BL27</f>
        <v>0</v>
      </c>
      <c r="AU27" s="232">
        <f>'FY29'!BL27</f>
        <v>0</v>
      </c>
      <c r="AV27" s="232">
        <f>'FY30'!BL27</f>
        <v>0</v>
      </c>
      <c r="AX27" s="232">
        <f>'FY26'!BT27</f>
        <v>300</v>
      </c>
      <c r="AY27" s="232">
        <f>'FY27'!BT27</f>
        <v>315</v>
      </c>
      <c r="AZ27" s="232">
        <f>'FY28'!BT27</f>
        <v>320</v>
      </c>
      <c r="BA27" s="232">
        <f>'FY29'!BT27</f>
        <v>321</v>
      </c>
      <c r="BB27" s="232">
        <f>'FY30'!BT27</f>
        <v>321</v>
      </c>
    </row>
    <row r="28" spans="1:54" x14ac:dyDescent="0.25">
      <c r="A28" s="190" t="s">
        <v>181</v>
      </c>
      <c r="B28" s="232">
        <f>'FY26'!H28</f>
        <v>5</v>
      </c>
      <c r="C28" s="232">
        <f>'FY27'!H28</f>
        <v>5</v>
      </c>
      <c r="D28" s="232">
        <f>'FY28'!H28</f>
        <v>5</v>
      </c>
      <c r="E28" s="232">
        <f>'FY29'!H28</f>
        <v>5</v>
      </c>
      <c r="F28" s="232">
        <f>'FY30'!H28</f>
        <v>5</v>
      </c>
      <c r="H28" s="232">
        <f>'FY26'!P28</f>
        <v>13</v>
      </c>
      <c r="I28" s="232">
        <f>'FY27'!P28</f>
        <v>13</v>
      </c>
      <c r="J28" s="232">
        <f>'FY28'!P28</f>
        <v>13</v>
      </c>
      <c r="K28" s="232">
        <f>'FY29'!P28</f>
        <v>13</v>
      </c>
      <c r="L28" s="232">
        <f>'FY30'!P28</f>
        <v>13</v>
      </c>
      <c r="N28" s="232">
        <f>'FY26'!X28</f>
        <v>4</v>
      </c>
      <c r="O28" s="232">
        <f>'FY27'!X28</f>
        <v>4</v>
      </c>
      <c r="P28" s="232">
        <f>'FY28'!X28</f>
        <v>4</v>
      </c>
      <c r="Q28" s="232">
        <f>'FY29'!X28</f>
        <v>4</v>
      </c>
      <c r="R28" s="232">
        <f>'FY30'!X28</f>
        <v>4</v>
      </c>
      <c r="T28" s="232">
        <f>'FY26'!AF28</f>
        <v>5</v>
      </c>
      <c r="U28" s="232">
        <f>'FY27'!AF28</f>
        <v>5</v>
      </c>
      <c r="V28" s="232">
        <f>'FY28'!AF28</f>
        <v>5</v>
      </c>
      <c r="W28" s="232">
        <f>'FY29'!AF28</f>
        <v>5</v>
      </c>
      <c r="X28" s="232">
        <f>'FY30'!AF28</f>
        <v>5</v>
      </c>
      <c r="Z28" s="232">
        <f>'FY26'!AN28</f>
        <v>12</v>
      </c>
      <c r="AA28" s="232">
        <f>'FY27'!AN28</f>
        <v>13</v>
      </c>
      <c r="AB28" s="232">
        <f>'FY28'!AN28</f>
        <v>13</v>
      </c>
      <c r="AC28" s="232">
        <f>'FY29'!AN28</f>
        <v>13</v>
      </c>
      <c r="AD28" s="232">
        <f>'FY30'!AN28</f>
        <v>13</v>
      </c>
      <c r="AF28" s="232">
        <f>'FY26'!AV28</f>
        <v>1</v>
      </c>
      <c r="AG28" s="232">
        <f>'FY27'!AV28</f>
        <v>3</v>
      </c>
      <c r="AH28" s="232">
        <f>'FY28'!AV28</f>
        <v>3.5</v>
      </c>
      <c r="AI28" s="232">
        <f>'FY29'!AV28</f>
        <v>4</v>
      </c>
      <c r="AJ28" s="232">
        <f>'FY30'!AV28</f>
        <v>4</v>
      </c>
      <c r="AL28" s="232">
        <f>'FY26'!BD28</f>
        <v>1</v>
      </c>
      <c r="AM28" s="232">
        <f>'FY27'!BD28</f>
        <v>1</v>
      </c>
      <c r="AN28" s="232">
        <f>'FY28'!BD28</f>
        <v>1</v>
      </c>
      <c r="AO28" s="232">
        <f>'FY29'!BD28</f>
        <v>1</v>
      </c>
      <c r="AP28" s="232">
        <f>'FY30'!BD28</f>
        <v>1</v>
      </c>
      <c r="AR28" s="232">
        <f>'FY26'!BL28</f>
        <v>0</v>
      </c>
      <c r="AS28" s="232">
        <f>'FY27'!BL28</f>
        <v>0</v>
      </c>
      <c r="AT28" s="232">
        <f>'FY28'!BL28</f>
        <v>0</v>
      </c>
      <c r="AU28" s="232">
        <f>'FY29'!BL28</f>
        <v>0</v>
      </c>
      <c r="AV28" s="232">
        <f>'FY30'!BL28</f>
        <v>0</v>
      </c>
      <c r="AX28" s="232">
        <f>'FY26'!BT28</f>
        <v>41</v>
      </c>
      <c r="AY28" s="232">
        <f>'FY27'!BT28</f>
        <v>44</v>
      </c>
      <c r="AZ28" s="232">
        <f>'FY28'!BT28</f>
        <v>44.5</v>
      </c>
      <c r="BA28" s="232">
        <f>'FY29'!BT28</f>
        <v>45</v>
      </c>
      <c r="BB28" s="232">
        <f>'FY30'!BT28</f>
        <v>45</v>
      </c>
    </row>
    <row r="29" spans="1:54" x14ac:dyDescent="0.25">
      <c r="A29" s="190" t="s">
        <v>182</v>
      </c>
      <c r="B29" s="232">
        <f>'FY26'!H29</f>
        <v>1</v>
      </c>
      <c r="C29" s="232">
        <f>'FY27'!H29</f>
        <v>1</v>
      </c>
      <c r="D29" s="232">
        <f>'FY28'!H29</f>
        <v>1</v>
      </c>
      <c r="E29" s="232">
        <f>'FY29'!H29</f>
        <v>1</v>
      </c>
      <c r="F29" s="232">
        <f>'FY30'!H29</f>
        <v>1</v>
      </c>
      <c r="H29" s="232">
        <f>'FY26'!P29</f>
        <v>2</v>
      </c>
      <c r="I29" s="232">
        <f>'FY27'!P29</f>
        <v>2</v>
      </c>
      <c r="J29" s="232">
        <f>'FY28'!P29</f>
        <v>2</v>
      </c>
      <c r="K29" s="232">
        <f>'FY29'!P29</f>
        <v>2</v>
      </c>
      <c r="L29" s="232">
        <f>'FY30'!P29</f>
        <v>2</v>
      </c>
      <c r="N29" s="232">
        <f>'FY26'!X29</f>
        <v>1</v>
      </c>
      <c r="O29" s="232">
        <f>'FY27'!X29</f>
        <v>1</v>
      </c>
      <c r="P29" s="232">
        <f>'FY28'!X29</f>
        <v>1</v>
      </c>
      <c r="Q29" s="232">
        <f>'FY29'!X29</f>
        <v>1</v>
      </c>
      <c r="R29" s="232">
        <f>'FY30'!X29</f>
        <v>1</v>
      </c>
      <c r="T29" s="232">
        <f>'FY26'!AF29</f>
        <v>1</v>
      </c>
      <c r="U29" s="232">
        <f>'FY27'!AF29</f>
        <v>1</v>
      </c>
      <c r="V29" s="232">
        <f>'FY28'!AF29</f>
        <v>1</v>
      </c>
      <c r="W29" s="232">
        <f>'FY29'!AF29</f>
        <v>1</v>
      </c>
      <c r="X29" s="232">
        <f>'FY30'!AF29</f>
        <v>1</v>
      </c>
      <c r="Z29" s="232">
        <f>'FY26'!AN29</f>
        <v>2</v>
      </c>
      <c r="AA29" s="232">
        <f>'FY27'!AN29</f>
        <v>2</v>
      </c>
      <c r="AB29" s="232">
        <f>'FY28'!AN29</f>
        <v>2</v>
      </c>
      <c r="AC29" s="232">
        <f>'FY29'!AN29</f>
        <v>2</v>
      </c>
      <c r="AD29" s="232">
        <f>'FY30'!AN29</f>
        <v>2</v>
      </c>
      <c r="AF29" s="232">
        <f>'FY26'!AV29</f>
        <v>1</v>
      </c>
      <c r="AG29" s="232">
        <f>'FY27'!AV29</f>
        <v>1</v>
      </c>
      <c r="AH29" s="232">
        <f>'FY28'!AV29</f>
        <v>1</v>
      </c>
      <c r="AI29" s="232">
        <f>'FY29'!AV29</f>
        <v>1</v>
      </c>
      <c r="AJ29" s="232">
        <f>'FY30'!AV29</f>
        <v>1</v>
      </c>
      <c r="AL29" s="232">
        <f>'FY26'!BD29</f>
        <v>0</v>
      </c>
      <c r="AM29" s="232">
        <f>'FY27'!BD29</f>
        <v>0</v>
      </c>
      <c r="AN29" s="232">
        <f>'FY28'!BD29</f>
        <v>0</v>
      </c>
      <c r="AO29" s="232">
        <f>'FY29'!BD29</f>
        <v>0</v>
      </c>
      <c r="AP29" s="232">
        <f>'FY30'!BD29</f>
        <v>0</v>
      </c>
      <c r="AR29" s="232">
        <f>'FY26'!BL29</f>
        <v>0</v>
      </c>
      <c r="AS29" s="232">
        <f>'FY27'!BL29</f>
        <v>0</v>
      </c>
      <c r="AT29" s="232">
        <f>'FY28'!BL29</f>
        <v>0</v>
      </c>
      <c r="AU29" s="232">
        <f>'FY29'!BL29</f>
        <v>0</v>
      </c>
      <c r="AV29" s="232">
        <f>'FY30'!BL29</f>
        <v>0</v>
      </c>
      <c r="AX29" s="232">
        <f>'FY26'!BT29</f>
        <v>8</v>
      </c>
      <c r="AY29" s="232">
        <f>'FY27'!BT29</f>
        <v>8</v>
      </c>
      <c r="AZ29" s="232">
        <f>'FY28'!BT29</f>
        <v>8</v>
      </c>
      <c r="BA29" s="232">
        <f>'FY29'!BT29</f>
        <v>8</v>
      </c>
      <c r="BB29" s="232">
        <f>'FY30'!BT29</f>
        <v>8</v>
      </c>
    </row>
    <row r="30" spans="1:54" x14ac:dyDescent="0.25">
      <c r="A30" s="190" t="s">
        <v>183</v>
      </c>
      <c r="B30" s="232">
        <f>'FY26'!H30</f>
        <v>1</v>
      </c>
      <c r="C30" s="232">
        <f>'FY27'!H30</f>
        <v>1</v>
      </c>
      <c r="D30" s="232">
        <f>'FY28'!H30</f>
        <v>1</v>
      </c>
      <c r="E30" s="232">
        <f>'FY29'!H30</f>
        <v>1</v>
      </c>
      <c r="F30" s="232">
        <f>'FY30'!H30</f>
        <v>1</v>
      </c>
      <c r="H30" s="232">
        <f>'FY26'!P30</f>
        <v>2</v>
      </c>
      <c r="I30" s="232">
        <f>'FY27'!P30</f>
        <v>2</v>
      </c>
      <c r="J30" s="232">
        <f>'FY28'!P30</f>
        <v>2</v>
      </c>
      <c r="K30" s="232">
        <f>'FY29'!P30</f>
        <v>2</v>
      </c>
      <c r="L30" s="232">
        <f>'FY30'!P30</f>
        <v>2</v>
      </c>
      <c r="N30" s="232">
        <f>'FY26'!X30</f>
        <v>1</v>
      </c>
      <c r="O30" s="232">
        <f>'FY27'!X30</f>
        <v>1</v>
      </c>
      <c r="P30" s="232">
        <f>'FY28'!X30</f>
        <v>1</v>
      </c>
      <c r="Q30" s="232">
        <f>'FY29'!X30</f>
        <v>1</v>
      </c>
      <c r="R30" s="232">
        <f>'FY30'!X30</f>
        <v>1</v>
      </c>
      <c r="T30" s="232">
        <f>'FY26'!AF30</f>
        <v>1</v>
      </c>
      <c r="U30" s="232">
        <f>'FY27'!AF30</f>
        <v>1</v>
      </c>
      <c r="V30" s="232">
        <f>'FY28'!AF30</f>
        <v>1</v>
      </c>
      <c r="W30" s="232">
        <f>'FY29'!AF30</f>
        <v>1</v>
      </c>
      <c r="X30" s="232">
        <f>'FY30'!AF30</f>
        <v>1</v>
      </c>
      <c r="Z30" s="232">
        <f>'FY26'!AN30</f>
        <v>3</v>
      </c>
      <c r="AA30" s="232">
        <f>'FY27'!AN30</f>
        <v>3</v>
      </c>
      <c r="AB30" s="232">
        <f>'FY28'!AN30</f>
        <v>3</v>
      </c>
      <c r="AC30" s="232">
        <f>'FY29'!AN30</f>
        <v>3</v>
      </c>
      <c r="AD30" s="232">
        <f>'FY30'!AN30</f>
        <v>3</v>
      </c>
      <c r="AF30" s="232">
        <f>'FY26'!AV30</f>
        <v>0</v>
      </c>
      <c r="AG30" s="232">
        <f>'FY27'!AV30</f>
        <v>1</v>
      </c>
      <c r="AH30" s="232">
        <f>'FY28'!AV30</f>
        <v>1</v>
      </c>
      <c r="AI30" s="232">
        <f>'FY29'!AV30</f>
        <v>1</v>
      </c>
      <c r="AJ30" s="232">
        <f>'FY30'!AV30</f>
        <v>1</v>
      </c>
      <c r="AL30" s="232">
        <f>'FY26'!BD30</f>
        <v>0</v>
      </c>
      <c r="AM30" s="232">
        <f>'FY27'!BD30</f>
        <v>0</v>
      </c>
      <c r="AN30" s="232">
        <f>'FY28'!BD30</f>
        <v>0</v>
      </c>
      <c r="AO30" s="232">
        <f>'FY29'!BD30</f>
        <v>0</v>
      </c>
      <c r="AP30" s="232">
        <f>'FY30'!BD30</f>
        <v>0</v>
      </c>
      <c r="AR30" s="232">
        <f>'FY26'!BL30</f>
        <v>1</v>
      </c>
      <c r="AS30" s="232">
        <f>'FY27'!BL30</f>
        <v>1</v>
      </c>
      <c r="AT30" s="232">
        <f>'FY28'!BL30</f>
        <v>1</v>
      </c>
      <c r="AU30" s="232">
        <f>'FY29'!BL30</f>
        <v>1</v>
      </c>
      <c r="AV30" s="232">
        <f>'FY30'!BL30</f>
        <v>1</v>
      </c>
      <c r="AX30" s="232">
        <f>'FY26'!BT30</f>
        <v>9</v>
      </c>
      <c r="AY30" s="232">
        <f>'FY27'!BT30</f>
        <v>10</v>
      </c>
      <c r="AZ30" s="232">
        <f>'FY28'!BT30</f>
        <v>10</v>
      </c>
      <c r="BA30" s="232">
        <f>'FY29'!BT30</f>
        <v>10</v>
      </c>
      <c r="BB30" s="232">
        <f>'FY30'!BT30</f>
        <v>10</v>
      </c>
    </row>
    <row r="31" spans="1:54" x14ac:dyDescent="0.25">
      <c r="A31" s="190" t="s">
        <v>184</v>
      </c>
      <c r="B31" s="232">
        <f>'FY26'!H31</f>
        <v>1</v>
      </c>
      <c r="C31" s="232">
        <f>'FY27'!H31</f>
        <v>1</v>
      </c>
      <c r="D31" s="232">
        <f>'FY28'!H31</f>
        <v>1</v>
      </c>
      <c r="E31" s="232">
        <f>'FY29'!H31</f>
        <v>1</v>
      </c>
      <c r="F31" s="232">
        <f>'FY30'!H31</f>
        <v>1</v>
      </c>
      <c r="H31" s="232">
        <f>'FY26'!P31</f>
        <v>3</v>
      </c>
      <c r="I31" s="232">
        <f>'FY27'!P31</f>
        <v>3</v>
      </c>
      <c r="J31" s="232">
        <f>'FY28'!P31</f>
        <v>3</v>
      </c>
      <c r="K31" s="232">
        <f>'FY29'!P31</f>
        <v>3</v>
      </c>
      <c r="L31" s="232">
        <f>'FY30'!P31</f>
        <v>3</v>
      </c>
      <c r="N31" s="232">
        <f>'FY26'!X31</f>
        <v>1</v>
      </c>
      <c r="O31" s="232">
        <f>'FY27'!X31</f>
        <v>1</v>
      </c>
      <c r="P31" s="232">
        <f>'FY28'!X31</f>
        <v>1</v>
      </c>
      <c r="Q31" s="232">
        <f>'FY29'!X31</f>
        <v>1</v>
      </c>
      <c r="R31" s="232">
        <f>'FY30'!X31</f>
        <v>1</v>
      </c>
      <c r="T31" s="232">
        <f>'FY26'!AF31</f>
        <v>1</v>
      </c>
      <c r="U31" s="232">
        <f>'FY27'!AF31</f>
        <v>1</v>
      </c>
      <c r="V31" s="232">
        <f>'FY28'!AF31</f>
        <v>1</v>
      </c>
      <c r="W31" s="232">
        <f>'FY29'!AF31</f>
        <v>1</v>
      </c>
      <c r="X31" s="232">
        <f>'FY30'!AF31</f>
        <v>1</v>
      </c>
      <c r="Z31" s="232">
        <f>'FY26'!AN31</f>
        <v>3</v>
      </c>
      <c r="AA31" s="232">
        <f>'FY27'!AN31</f>
        <v>3</v>
      </c>
      <c r="AB31" s="232">
        <f>'FY28'!AN31</f>
        <v>3</v>
      </c>
      <c r="AC31" s="232">
        <f>'FY29'!AN31</f>
        <v>3</v>
      </c>
      <c r="AD31" s="232">
        <f>'FY30'!AN31</f>
        <v>3</v>
      </c>
      <c r="AF31" s="232">
        <f>'FY26'!AV31</f>
        <v>1</v>
      </c>
      <c r="AG31" s="232">
        <f>'FY27'!AV31</f>
        <v>1</v>
      </c>
      <c r="AH31" s="232">
        <f>'FY28'!AV31</f>
        <v>1</v>
      </c>
      <c r="AI31" s="232">
        <f>'FY29'!AV31</f>
        <v>1</v>
      </c>
      <c r="AJ31" s="232">
        <f>'FY30'!AV31</f>
        <v>1</v>
      </c>
      <c r="AL31" s="232">
        <f>'FY26'!BD31</f>
        <v>0</v>
      </c>
      <c r="AM31" s="232">
        <f>'FY27'!BD31</f>
        <v>0</v>
      </c>
      <c r="AN31" s="232">
        <f>'FY28'!BD31</f>
        <v>0</v>
      </c>
      <c r="AO31" s="232">
        <f>'FY29'!BD31</f>
        <v>0</v>
      </c>
      <c r="AP31" s="232">
        <f>'FY30'!BD31</f>
        <v>0</v>
      </c>
      <c r="AR31" s="232">
        <f>'FY26'!BL31</f>
        <v>0</v>
      </c>
      <c r="AS31" s="232">
        <f>'FY27'!BL31</f>
        <v>0</v>
      </c>
      <c r="AT31" s="232">
        <f>'FY28'!BL31</f>
        <v>0</v>
      </c>
      <c r="AU31" s="232">
        <f>'FY29'!BL31</f>
        <v>0</v>
      </c>
      <c r="AV31" s="232">
        <f>'FY30'!BL31</f>
        <v>0</v>
      </c>
      <c r="AX31" s="232">
        <f>'FY26'!BT31</f>
        <v>10</v>
      </c>
      <c r="AY31" s="232">
        <f>'FY27'!BT31</f>
        <v>10</v>
      </c>
      <c r="AZ31" s="232">
        <f>'FY28'!BT31</f>
        <v>10</v>
      </c>
      <c r="BA31" s="232">
        <f>'FY29'!BT31</f>
        <v>10</v>
      </c>
      <c r="BB31" s="232">
        <f>'FY30'!BT31</f>
        <v>10</v>
      </c>
    </row>
    <row r="32" spans="1:54" x14ac:dyDescent="0.25">
      <c r="A32" s="191" t="s">
        <v>185</v>
      </c>
      <c r="B32" s="232">
        <f>'FY26'!H32</f>
        <v>1</v>
      </c>
      <c r="C32" s="232">
        <f>'FY27'!H32</f>
        <v>1</v>
      </c>
      <c r="D32" s="232">
        <f>'FY28'!H32</f>
        <v>1</v>
      </c>
      <c r="E32" s="232">
        <f>'FY29'!H32</f>
        <v>1</v>
      </c>
      <c r="F32" s="232">
        <f>'FY30'!H32</f>
        <v>1</v>
      </c>
      <c r="H32" s="232">
        <f>'FY26'!P32</f>
        <v>3</v>
      </c>
      <c r="I32" s="232">
        <f>'FY27'!P32</f>
        <v>3</v>
      </c>
      <c r="J32" s="232">
        <f>'FY28'!P32</f>
        <v>3</v>
      </c>
      <c r="K32" s="232">
        <f>'FY29'!P32</f>
        <v>3</v>
      </c>
      <c r="L32" s="232">
        <f>'FY30'!P32</f>
        <v>3</v>
      </c>
      <c r="N32" s="232">
        <f>'FY26'!X32</f>
        <v>1</v>
      </c>
      <c r="O32" s="232">
        <f>'FY27'!X32</f>
        <v>1</v>
      </c>
      <c r="P32" s="232">
        <f>'FY28'!X32</f>
        <v>1</v>
      </c>
      <c r="Q32" s="232">
        <f>'FY29'!X32</f>
        <v>1</v>
      </c>
      <c r="R32" s="232">
        <f>'FY30'!X32</f>
        <v>1</v>
      </c>
      <c r="T32" s="232">
        <f>'FY26'!AF32</f>
        <v>1</v>
      </c>
      <c r="U32" s="232">
        <f>'FY27'!AF32</f>
        <v>1</v>
      </c>
      <c r="V32" s="232">
        <f>'FY28'!AF32</f>
        <v>1</v>
      </c>
      <c r="W32" s="232">
        <f>'FY29'!AF32</f>
        <v>1</v>
      </c>
      <c r="X32" s="232">
        <f>'FY30'!AF32</f>
        <v>1</v>
      </c>
      <c r="Z32" s="232">
        <f>'FY26'!AN32</f>
        <v>2</v>
      </c>
      <c r="AA32" s="232">
        <f>'FY27'!AN32</f>
        <v>2</v>
      </c>
      <c r="AB32" s="232">
        <f>'FY28'!AN32</f>
        <v>2</v>
      </c>
      <c r="AC32" s="232">
        <f>'FY29'!AN32</f>
        <v>2</v>
      </c>
      <c r="AD32" s="232">
        <f>'FY30'!AN32</f>
        <v>2</v>
      </c>
      <c r="AF32" s="232">
        <f>'FY26'!AV32</f>
        <v>1</v>
      </c>
      <c r="AG32" s="232">
        <f>'FY27'!AV32</f>
        <v>1</v>
      </c>
      <c r="AH32" s="232">
        <f>'FY28'!AV32</f>
        <v>1</v>
      </c>
      <c r="AI32" s="232">
        <f>'FY29'!AV32</f>
        <v>1</v>
      </c>
      <c r="AJ32" s="232">
        <f>'FY30'!AV32</f>
        <v>1</v>
      </c>
      <c r="AL32" s="232">
        <f>'FY26'!BD32</f>
        <v>0</v>
      </c>
      <c r="AM32" s="232">
        <f>'FY27'!BD32</f>
        <v>0</v>
      </c>
      <c r="AN32" s="232">
        <f>'FY28'!BD32</f>
        <v>0</v>
      </c>
      <c r="AO32" s="232">
        <f>'FY29'!BD32</f>
        <v>0</v>
      </c>
      <c r="AP32" s="232">
        <f>'FY30'!BD32</f>
        <v>0</v>
      </c>
      <c r="AR32" s="232">
        <f>'FY26'!BL32</f>
        <v>0</v>
      </c>
      <c r="AS32" s="232">
        <f>'FY27'!BL32</f>
        <v>0</v>
      </c>
      <c r="AT32" s="232">
        <f>'FY28'!BL32</f>
        <v>0</v>
      </c>
      <c r="AU32" s="232">
        <f>'FY29'!BL32</f>
        <v>0</v>
      </c>
      <c r="AV32" s="232">
        <f>'FY30'!BL32</f>
        <v>0</v>
      </c>
      <c r="AX32" s="232">
        <f>'FY26'!BT32</f>
        <v>9</v>
      </c>
      <c r="AY32" s="232">
        <f>'FY27'!BT32</f>
        <v>9</v>
      </c>
      <c r="AZ32" s="232">
        <f>'FY28'!BT32</f>
        <v>9</v>
      </c>
      <c r="BA32" s="232">
        <f>'FY29'!BT32</f>
        <v>9</v>
      </c>
      <c r="BB32" s="232">
        <f>'FY30'!BT32</f>
        <v>9</v>
      </c>
    </row>
    <row r="33" spans="1:54" x14ac:dyDescent="0.25">
      <c r="A33" s="191" t="s">
        <v>186</v>
      </c>
      <c r="B33" s="232">
        <f>'FY26'!H33</f>
        <v>1</v>
      </c>
      <c r="C33" s="232">
        <f>'FY27'!H33</f>
        <v>1</v>
      </c>
      <c r="D33" s="232">
        <f>'FY28'!H33</f>
        <v>1</v>
      </c>
      <c r="E33" s="232">
        <f>'FY29'!H33</f>
        <v>1</v>
      </c>
      <c r="F33" s="232">
        <f>'FY30'!H33</f>
        <v>1</v>
      </c>
      <c r="H33" s="232">
        <f>'FY26'!P33</f>
        <v>2</v>
      </c>
      <c r="I33" s="232">
        <f>'FY27'!P33</f>
        <v>2</v>
      </c>
      <c r="J33" s="232">
        <f>'FY28'!P33</f>
        <v>2</v>
      </c>
      <c r="K33" s="232">
        <f>'FY29'!P33</f>
        <v>2</v>
      </c>
      <c r="L33" s="232">
        <f>'FY30'!P33</f>
        <v>2</v>
      </c>
      <c r="N33" s="232">
        <f>'FY26'!X33</f>
        <v>1</v>
      </c>
      <c r="O33" s="232">
        <f>'FY27'!X33</f>
        <v>1</v>
      </c>
      <c r="P33" s="232">
        <f>'FY28'!X33</f>
        <v>1</v>
      </c>
      <c r="Q33" s="232">
        <f>'FY29'!X33</f>
        <v>1</v>
      </c>
      <c r="R33" s="232">
        <f>'FY30'!X33</f>
        <v>1</v>
      </c>
      <c r="T33" s="232">
        <f>'FY26'!AF33</f>
        <v>1</v>
      </c>
      <c r="U33" s="232">
        <f>'FY27'!AF33</f>
        <v>1</v>
      </c>
      <c r="V33" s="232">
        <f>'FY28'!AF33</f>
        <v>1</v>
      </c>
      <c r="W33" s="232">
        <f>'FY29'!AF33</f>
        <v>1</v>
      </c>
      <c r="X33" s="232">
        <f>'FY30'!AF33</f>
        <v>1</v>
      </c>
      <c r="Z33" s="232">
        <f>'FY26'!AN33</f>
        <v>2</v>
      </c>
      <c r="AA33" s="232">
        <f>'FY27'!AN33</f>
        <v>2</v>
      </c>
      <c r="AB33" s="232">
        <f>'FY28'!AN33</f>
        <v>2</v>
      </c>
      <c r="AC33" s="232">
        <f>'FY29'!AN33</f>
        <v>2</v>
      </c>
      <c r="AD33" s="232">
        <f>'FY30'!AN33</f>
        <v>2</v>
      </c>
      <c r="AF33" s="232">
        <f>'FY26'!AV33</f>
        <v>0</v>
      </c>
      <c r="AG33" s="232">
        <f>'FY27'!AV33</f>
        <v>0</v>
      </c>
      <c r="AH33" s="232">
        <f>'FY28'!AV33</f>
        <v>0</v>
      </c>
      <c r="AI33" s="232">
        <f>'FY29'!AV33</f>
        <v>0</v>
      </c>
      <c r="AJ33" s="232">
        <f>'FY30'!AV33</f>
        <v>0</v>
      </c>
      <c r="AL33" s="232">
        <f>'FY26'!BD33</f>
        <v>0</v>
      </c>
      <c r="AM33" s="232">
        <f>'FY27'!BD33</f>
        <v>0</v>
      </c>
      <c r="AN33" s="232">
        <f>'FY28'!BD33</f>
        <v>0</v>
      </c>
      <c r="AO33" s="232">
        <f>'FY29'!BD33</f>
        <v>0</v>
      </c>
      <c r="AP33" s="232">
        <f>'FY30'!BD33</f>
        <v>0</v>
      </c>
      <c r="AR33" s="232">
        <f>'FY26'!BL33</f>
        <v>0</v>
      </c>
      <c r="AS33" s="232">
        <f>'FY27'!BL33</f>
        <v>0</v>
      </c>
      <c r="AT33" s="232">
        <f>'FY28'!BL33</f>
        <v>0</v>
      </c>
      <c r="AU33" s="232">
        <f>'FY29'!BL33</f>
        <v>0</v>
      </c>
      <c r="AV33" s="232">
        <f>'FY30'!BL33</f>
        <v>0</v>
      </c>
      <c r="AX33" s="232">
        <f>'FY26'!BT33</f>
        <v>7</v>
      </c>
      <c r="AY33" s="232">
        <f>'FY27'!BT33</f>
        <v>7</v>
      </c>
      <c r="AZ33" s="232">
        <f>'FY28'!BT33</f>
        <v>7</v>
      </c>
      <c r="BA33" s="232">
        <f>'FY29'!BT33</f>
        <v>7</v>
      </c>
      <c r="BB33" s="232">
        <f>'FY30'!BT33</f>
        <v>7</v>
      </c>
    </row>
    <row r="34" spans="1:54" x14ac:dyDescent="0.25">
      <c r="A34" s="191" t="s">
        <v>187</v>
      </c>
      <c r="B34" s="232">
        <f>'FY26'!H34</f>
        <v>1</v>
      </c>
      <c r="C34" s="232">
        <f>'FY27'!H34</f>
        <v>1</v>
      </c>
      <c r="D34" s="232">
        <f>'FY28'!H34</f>
        <v>1</v>
      </c>
      <c r="E34" s="232">
        <f>'FY29'!H34</f>
        <v>1</v>
      </c>
      <c r="F34" s="232">
        <f>'FY30'!H34</f>
        <v>1</v>
      </c>
      <c r="H34" s="232">
        <f>'FY26'!P34</f>
        <v>3</v>
      </c>
      <c r="I34" s="232">
        <f>'FY27'!P34</f>
        <v>3</v>
      </c>
      <c r="J34" s="232">
        <f>'FY28'!P34</f>
        <v>3</v>
      </c>
      <c r="K34" s="232">
        <f>'FY29'!P34</f>
        <v>3</v>
      </c>
      <c r="L34" s="232">
        <f>'FY30'!P34</f>
        <v>3</v>
      </c>
      <c r="N34" s="232">
        <f>'FY26'!X34</f>
        <v>2</v>
      </c>
      <c r="O34" s="232">
        <f>'FY27'!X34</f>
        <v>2</v>
      </c>
      <c r="P34" s="232">
        <f>'FY28'!X34</f>
        <v>2</v>
      </c>
      <c r="Q34" s="232">
        <f>'FY29'!X34</f>
        <v>2</v>
      </c>
      <c r="R34" s="232">
        <f>'FY30'!X34</f>
        <v>2</v>
      </c>
      <c r="T34" s="232">
        <f>'FY26'!AF34</f>
        <v>3</v>
      </c>
      <c r="U34" s="232">
        <f>'FY27'!AF34</f>
        <v>3</v>
      </c>
      <c r="V34" s="232">
        <f>'FY28'!AF34</f>
        <v>3</v>
      </c>
      <c r="W34" s="232">
        <f>'FY29'!AF34</f>
        <v>3</v>
      </c>
      <c r="X34" s="232">
        <f>'FY30'!AF34</f>
        <v>3</v>
      </c>
      <c r="Z34" s="232">
        <f>'FY26'!AN34</f>
        <v>3</v>
      </c>
      <c r="AA34" s="232">
        <f>'FY27'!AN34</f>
        <v>3</v>
      </c>
      <c r="AB34" s="232">
        <f>'FY28'!AN34</f>
        <v>3</v>
      </c>
      <c r="AC34" s="232">
        <f>'FY29'!AN34</f>
        <v>3</v>
      </c>
      <c r="AD34" s="232">
        <f>'FY30'!AN34</f>
        <v>3</v>
      </c>
      <c r="AF34" s="232">
        <f>'FY26'!AV34</f>
        <v>0</v>
      </c>
      <c r="AG34" s="232">
        <f>'FY27'!AV34</f>
        <v>0</v>
      </c>
      <c r="AH34" s="232">
        <f>'FY28'!AV34</f>
        <v>1</v>
      </c>
      <c r="AI34" s="232">
        <f>'FY29'!AV34</f>
        <v>1</v>
      </c>
      <c r="AJ34" s="232">
        <f>'FY30'!AV34</f>
        <v>1</v>
      </c>
      <c r="AL34" s="232">
        <f>'FY26'!BD34</f>
        <v>0</v>
      </c>
      <c r="AM34" s="232">
        <f>'FY27'!BD34</f>
        <v>0</v>
      </c>
      <c r="AN34" s="232">
        <f>'FY28'!BD34</f>
        <v>0</v>
      </c>
      <c r="AO34" s="232">
        <f>'FY29'!BD34</f>
        <v>0</v>
      </c>
      <c r="AP34" s="232">
        <f>'FY30'!BD34</f>
        <v>0</v>
      </c>
      <c r="AR34" s="232">
        <f>'FY26'!BL34</f>
        <v>0</v>
      </c>
      <c r="AS34" s="232">
        <f>'FY27'!BL34</f>
        <v>0</v>
      </c>
      <c r="AT34" s="232">
        <f>'FY28'!BL34</f>
        <v>0</v>
      </c>
      <c r="AU34" s="232">
        <f>'FY29'!BL34</f>
        <v>0</v>
      </c>
      <c r="AV34" s="232">
        <f>'FY30'!BL34</f>
        <v>0</v>
      </c>
      <c r="AX34" s="232">
        <f>'FY26'!BT34</f>
        <v>12</v>
      </c>
      <c r="AY34" s="232">
        <f>'FY27'!BT34</f>
        <v>12</v>
      </c>
      <c r="AZ34" s="232">
        <f>'FY28'!BT34</f>
        <v>13</v>
      </c>
      <c r="BA34" s="232">
        <f>'FY29'!BT34</f>
        <v>13</v>
      </c>
      <c r="BB34" s="232">
        <f>'FY30'!BT34</f>
        <v>13</v>
      </c>
    </row>
    <row r="35" spans="1:54" x14ac:dyDescent="0.25">
      <c r="A35" s="192" t="s">
        <v>188</v>
      </c>
      <c r="B35" s="232">
        <f>'FY26'!H35</f>
        <v>0</v>
      </c>
      <c r="C35" s="232">
        <f>'FY27'!H35</f>
        <v>0</v>
      </c>
      <c r="D35" s="232">
        <f>'FY28'!H35</f>
        <v>0</v>
      </c>
      <c r="E35" s="232">
        <f>'FY29'!H35</f>
        <v>0</v>
      </c>
      <c r="F35" s="232">
        <f>'FY30'!H35</f>
        <v>0</v>
      </c>
      <c r="H35" s="232">
        <f>'FY26'!P35</f>
        <v>1</v>
      </c>
      <c r="I35" s="232">
        <f>'FY27'!P35</f>
        <v>1</v>
      </c>
      <c r="J35" s="232">
        <f>'FY28'!P35</f>
        <v>1</v>
      </c>
      <c r="K35" s="232">
        <f>'FY29'!P35</f>
        <v>1</v>
      </c>
      <c r="L35" s="232">
        <f>'FY30'!P35</f>
        <v>1</v>
      </c>
      <c r="N35" s="232">
        <f>'FY26'!X35</f>
        <v>1</v>
      </c>
      <c r="O35" s="232">
        <f>'FY27'!X35</f>
        <v>1</v>
      </c>
      <c r="P35" s="232">
        <f>'FY28'!X35</f>
        <v>1</v>
      </c>
      <c r="Q35" s="232">
        <f>'FY29'!X35</f>
        <v>1</v>
      </c>
      <c r="R35" s="232">
        <f>'FY30'!X35</f>
        <v>1</v>
      </c>
      <c r="T35" s="232">
        <f>'FY26'!AF35</f>
        <v>2</v>
      </c>
      <c r="U35" s="232">
        <f>'FY27'!AF35</f>
        <v>2</v>
      </c>
      <c r="V35" s="232">
        <f>'FY28'!AF35</f>
        <v>2</v>
      </c>
      <c r="W35" s="232">
        <f>'FY29'!AF35</f>
        <v>2</v>
      </c>
      <c r="X35" s="232">
        <f>'FY30'!AF35</f>
        <v>2</v>
      </c>
      <c r="Z35" s="232">
        <f>'FY26'!AN35</f>
        <v>1</v>
      </c>
      <c r="AA35" s="232">
        <f>'FY27'!AN35</f>
        <v>1</v>
      </c>
      <c r="AB35" s="232">
        <f>'FY28'!AN35</f>
        <v>1</v>
      </c>
      <c r="AC35" s="232">
        <f>'FY29'!AN35</f>
        <v>1</v>
      </c>
      <c r="AD35" s="232">
        <f>'FY30'!AN35</f>
        <v>1</v>
      </c>
      <c r="AF35" s="232">
        <f>'FY26'!AV35</f>
        <v>0</v>
      </c>
      <c r="AG35" s="232">
        <f>'FY27'!AV35</f>
        <v>0</v>
      </c>
      <c r="AH35" s="232">
        <f>'FY28'!AV35</f>
        <v>0</v>
      </c>
      <c r="AI35" s="232">
        <f>'FY29'!AV35</f>
        <v>0</v>
      </c>
      <c r="AJ35" s="232">
        <f>'FY30'!AV35</f>
        <v>0</v>
      </c>
      <c r="AL35" s="232">
        <f>'FY26'!BD35</f>
        <v>0</v>
      </c>
      <c r="AM35" s="232">
        <f>'FY27'!BD35</f>
        <v>0</v>
      </c>
      <c r="AN35" s="232">
        <f>'FY28'!BD35</f>
        <v>0</v>
      </c>
      <c r="AO35" s="232">
        <f>'FY29'!BD35</f>
        <v>0</v>
      </c>
      <c r="AP35" s="232">
        <f>'FY30'!BD35</f>
        <v>0</v>
      </c>
      <c r="AR35" s="232">
        <f>'FY26'!BL35</f>
        <v>0</v>
      </c>
      <c r="AS35" s="232">
        <f>'FY27'!BL35</f>
        <v>0</v>
      </c>
      <c r="AT35" s="232">
        <f>'FY28'!BL35</f>
        <v>0</v>
      </c>
      <c r="AU35" s="232">
        <f>'FY29'!BL35</f>
        <v>0</v>
      </c>
      <c r="AV35" s="232">
        <f>'FY30'!BL35</f>
        <v>0</v>
      </c>
      <c r="AX35" s="232">
        <f>'FY26'!BT35</f>
        <v>5</v>
      </c>
      <c r="AY35" s="232">
        <f>'FY27'!BT35</f>
        <v>5</v>
      </c>
      <c r="AZ35" s="232">
        <f>'FY28'!BT35</f>
        <v>5</v>
      </c>
      <c r="BA35" s="232">
        <f>'FY29'!BT35</f>
        <v>5</v>
      </c>
      <c r="BB35" s="232">
        <f>'FY30'!BT35</f>
        <v>5</v>
      </c>
    </row>
    <row r="36" spans="1:54" x14ac:dyDescent="0.25">
      <c r="A36" s="189" t="s">
        <v>189</v>
      </c>
      <c r="B36" s="234">
        <f>'FY26'!H36</f>
        <v>46</v>
      </c>
      <c r="C36" s="234">
        <f>'FY27'!H36</f>
        <v>47</v>
      </c>
      <c r="D36" s="234">
        <f>'FY28'!H36</f>
        <v>47</v>
      </c>
      <c r="E36" s="234">
        <f>'FY29'!H36</f>
        <v>47</v>
      </c>
      <c r="F36" s="234">
        <f>'FY30'!H36</f>
        <v>47</v>
      </c>
      <c r="H36" s="234">
        <f>'FY26'!P36</f>
        <v>113</v>
      </c>
      <c r="I36" s="234">
        <f>'FY27'!P36</f>
        <v>114</v>
      </c>
      <c r="J36" s="234">
        <f>'FY28'!P36</f>
        <v>114</v>
      </c>
      <c r="K36" s="234">
        <f>'FY29'!P36</f>
        <v>114</v>
      </c>
      <c r="L36" s="234">
        <f>'FY30'!P36</f>
        <v>114</v>
      </c>
      <c r="N36" s="234">
        <f>'FY26'!X36</f>
        <v>48</v>
      </c>
      <c r="O36" s="234">
        <f>'FY27'!X36</f>
        <v>48</v>
      </c>
      <c r="P36" s="234">
        <f>'FY28'!X36</f>
        <v>48</v>
      </c>
      <c r="Q36" s="234">
        <f>'FY29'!X36</f>
        <v>48</v>
      </c>
      <c r="R36" s="234">
        <f>'FY30'!X36</f>
        <v>48</v>
      </c>
      <c r="T36" s="234">
        <f>'FY26'!AF36</f>
        <v>61</v>
      </c>
      <c r="U36" s="234">
        <f>'FY27'!AF36</f>
        <v>61</v>
      </c>
      <c r="V36" s="234">
        <f>'FY28'!AF36</f>
        <v>61</v>
      </c>
      <c r="W36" s="234">
        <f>'FY29'!AF36</f>
        <v>61</v>
      </c>
      <c r="X36" s="234">
        <f>'FY30'!AF36</f>
        <v>61</v>
      </c>
      <c r="Z36" s="234">
        <f>'FY26'!AN36</f>
        <v>112</v>
      </c>
      <c r="AA36" s="234">
        <f>'FY27'!AN36</f>
        <v>115</v>
      </c>
      <c r="AB36" s="234">
        <f>'FY28'!AN36</f>
        <v>116</v>
      </c>
      <c r="AC36" s="234">
        <f>'FY29'!AN36</f>
        <v>114</v>
      </c>
      <c r="AD36" s="234">
        <f>'FY30'!AN36</f>
        <v>114</v>
      </c>
      <c r="AF36" s="234">
        <f>'FY26'!AV36</f>
        <v>19</v>
      </c>
      <c r="AG36" s="234">
        <f>'FY27'!AV36</f>
        <v>33</v>
      </c>
      <c r="AH36" s="234">
        <f>'FY28'!AV36</f>
        <v>38.5</v>
      </c>
      <c r="AI36" s="234">
        <f>'FY29'!AV36</f>
        <v>42</v>
      </c>
      <c r="AJ36" s="234">
        <f>'FY30'!AV36</f>
        <v>42</v>
      </c>
      <c r="AL36" s="234">
        <f>'FY26'!BD36</f>
        <v>1</v>
      </c>
      <c r="AM36" s="234">
        <f>'FY27'!BD36</f>
        <v>1</v>
      </c>
      <c r="AN36" s="234">
        <f>'FY28'!BD36</f>
        <v>1</v>
      </c>
      <c r="AO36" s="234">
        <f>'FY29'!BD36</f>
        <v>1</v>
      </c>
      <c r="AP36" s="234">
        <f>'FY30'!BD36</f>
        <v>1</v>
      </c>
      <c r="AR36" s="234">
        <f>'FY26'!BL36</f>
        <v>1</v>
      </c>
      <c r="AS36" s="234">
        <f>'FY27'!BL36</f>
        <v>1</v>
      </c>
      <c r="AT36" s="234">
        <f>'FY28'!BL36</f>
        <v>1</v>
      </c>
      <c r="AU36" s="234">
        <f>'FY29'!BL36</f>
        <v>1</v>
      </c>
      <c r="AV36" s="234">
        <f>'FY30'!BL36</f>
        <v>1</v>
      </c>
      <c r="AX36" s="234">
        <f>'FY26'!BT36</f>
        <v>401</v>
      </c>
      <c r="AY36" s="234">
        <f>'FY27'!BT36</f>
        <v>420</v>
      </c>
      <c r="AZ36" s="234">
        <f>'FY28'!BT36</f>
        <v>426.5</v>
      </c>
      <c r="BA36" s="234">
        <f>'FY29'!BT36</f>
        <v>428</v>
      </c>
      <c r="BB36" s="234">
        <f>'FY30'!BT36</f>
        <v>428</v>
      </c>
    </row>
    <row r="37" spans="1:54" x14ac:dyDescent="0.25">
      <c r="A37" s="193"/>
      <c r="B37" s="227">
        <f>'FY26'!H37</f>
        <v>0</v>
      </c>
      <c r="C37" s="227">
        <f>'FY27'!H37</f>
        <v>0</v>
      </c>
      <c r="D37" s="227">
        <f>'FY28'!H37</f>
        <v>0</v>
      </c>
      <c r="E37" s="227">
        <f>'FY29'!H37</f>
        <v>0</v>
      </c>
      <c r="F37" s="227">
        <f>'FY30'!H37</f>
        <v>0</v>
      </c>
      <c r="H37" s="227">
        <f>'FY26'!P37</f>
        <v>0</v>
      </c>
      <c r="I37" s="227">
        <f>'FY27'!P37</f>
        <v>0</v>
      </c>
      <c r="J37" s="227">
        <f>'FY28'!P37</f>
        <v>0</v>
      </c>
      <c r="K37" s="227">
        <f>'FY29'!P37</f>
        <v>0</v>
      </c>
      <c r="L37" s="227">
        <f>'FY30'!P37</f>
        <v>0</v>
      </c>
      <c r="N37" s="227">
        <f>'FY26'!X37</f>
        <v>0</v>
      </c>
      <c r="O37" s="227">
        <f>'FY27'!X37</f>
        <v>0</v>
      </c>
      <c r="P37" s="227">
        <f>'FY28'!X37</f>
        <v>0</v>
      </c>
      <c r="Q37" s="227">
        <f>'FY29'!X37</f>
        <v>0</v>
      </c>
      <c r="R37" s="227">
        <f>'FY30'!X37</f>
        <v>0</v>
      </c>
      <c r="T37" s="227">
        <f>'FY26'!AF37</f>
        <v>0</v>
      </c>
      <c r="U37" s="227">
        <f>'FY27'!AF37</f>
        <v>0</v>
      </c>
      <c r="V37" s="227">
        <f>'FY28'!AF37</f>
        <v>0</v>
      </c>
      <c r="W37" s="227">
        <f>'FY29'!AF37</f>
        <v>0</v>
      </c>
      <c r="X37" s="227">
        <f>'FY30'!AF37</f>
        <v>0</v>
      </c>
      <c r="Z37" s="227">
        <f>'FY26'!AN37</f>
        <v>0</v>
      </c>
      <c r="AA37" s="227">
        <f>'FY27'!AN37</f>
        <v>0</v>
      </c>
      <c r="AB37" s="227">
        <f>'FY28'!AN37</f>
        <v>0</v>
      </c>
      <c r="AC37" s="227">
        <f>'FY29'!AN37</f>
        <v>0</v>
      </c>
      <c r="AD37" s="227">
        <f>'FY30'!AN37</f>
        <v>0</v>
      </c>
      <c r="AF37" s="227">
        <f>'FY26'!AV37</f>
        <v>0</v>
      </c>
      <c r="AG37" s="227">
        <f>'FY27'!AV37</f>
        <v>0</v>
      </c>
      <c r="AH37" s="227">
        <f>'FY28'!AV37</f>
        <v>0</v>
      </c>
      <c r="AI37" s="227">
        <f>'FY29'!AV37</f>
        <v>0</v>
      </c>
      <c r="AJ37" s="227">
        <f>'FY30'!AV37</f>
        <v>0</v>
      </c>
      <c r="AL37" s="227">
        <f>'FY26'!BD37</f>
        <v>0</v>
      </c>
      <c r="AM37" s="227">
        <f>'FY27'!BD37</f>
        <v>0</v>
      </c>
      <c r="AN37" s="227">
        <f>'FY28'!BD37</f>
        <v>0</v>
      </c>
      <c r="AO37" s="227">
        <f>'FY29'!BD37</f>
        <v>0</v>
      </c>
      <c r="AP37" s="227">
        <f>'FY30'!BD37</f>
        <v>0</v>
      </c>
      <c r="AR37" s="227">
        <f>'FY26'!BL37</f>
        <v>0</v>
      </c>
      <c r="AS37" s="227">
        <f>'FY27'!BL37</f>
        <v>0</v>
      </c>
      <c r="AT37" s="227">
        <f>'FY28'!BL37</f>
        <v>0</v>
      </c>
      <c r="AU37" s="227">
        <f>'FY29'!BL37</f>
        <v>0</v>
      </c>
      <c r="AV37" s="227">
        <f>'FY30'!BL37</f>
        <v>0</v>
      </c>
      <c r="AX37" s="227">
        <f>'FY26'!BT37</f>
        <v>0</v>
      </c>
      <c r="AY37" s="227">
        <f>'FY27'!BT37</f>
        <v>0</v>
      </c>
      <c r="AZ37" s="227">
        <f>'FY28'!BT37</f>
        <v>0</v>
      </c>
      <c r="BA37" s="227">
        <f>'FY29'!BT37</f>
        <v>0</v>
      </c>
      <c r="BB37" s="227">
        <f>'FY30'!BT37</f>
        <v>0</v>
      </c>
    </row>
    <row r="38" spans="1:54" x14ac:dyDescent="0.25">
      <c r="A38" s="189" t="s">
        <v>190</v>
      </c>
      <c r="B38" s="228" t="str">
        <f>'FY26'!H38</f>
        <v>Total (25-26)</v>
      </c>
      <c r="C38" s="228" t="str">
        <f>'FY27'!H38</f>
        <v>Horizon</v>
      </c>
      <c r="D38" s="228" t="str">
        <f>'FY28'!H38</f>
        <v>Horizon</v>
      </c>
      <c r="E38" s="228" t="str">
        <f>'FY29'!H38</f>
        <v>Horizon</v>
      </c>
      <c r="F38" s="228" t="str">
        <f>'FY30'!H38</f>
        <v>Horizon</v>
      </c>
      <c r="H38" s="228" t="str">
        <f>'FY26'!P38</f>
        <v>Cadence</v>
      </c>
      <c r="I38" s="228" t="str">
        <f>'FY27'!P38</f>
        <v>Cadence</v>
      </c>
      <c r="J38" s="228" t="str">
        <f>'FY28'!P38</f>
        <v>Cadence</v>
      </c>
      <c r="K38" s="228" t="str">
        <f>'FY29'!P38</f>
        <v>Cadence</v>
      </c>
      <c r="L38" s="228" t="str">
        <f>'FY30'!P38</f>
        <v>Cadence</v>
      </c>
      <c r="N38" s="228" t="str">
        <f>'FY26'!X38</f>
        <v>St. Rose</v>
      </c>
      <c r="O38" s="228" t="str">
        <f>'FY27'!X38</f>
        <v>St. Rose</v>
      </c>
      <c r="P38" s="228" t="str">
        <f>'FY28'!X38</f>
        <v>St. Rose</v>
      </c>
      <c r="Q38" s="228" t="str">
        <f>'FY29'!X38</f>
        <v>St. Rose</v>
      </c>
      <c r="R38" s="228" t="str">
        <f>'FY30'!X38</f>
        <v>St. Rose</v>
      </c>
      <c r="T38" s="228" t="str">
        <f>'FY26'!AF38</f>
        <v>Inspirada</v>
      </c>
      <c r="U38" s="228" t="str">
        <f>'FY27'!AF38</f>
        <v>Inspirada</v>
      </c>
      <c r="V38" s="228" t="str">
        <f>'FY28'!AF38</f>
        <v>Inspirada</v>
      </c>
      <c r="W38" s="228" t="str">
        <f>'FY29'!AF38</f>
        <v>Inspirada</v>
      </c>
      <c r="X38" s="228" t="str">
        <f>'FY30'!AF38</f>
        <v>Inspirada</v>
      </c>
      <c r="Z38" s="228" t="str">
        <f>'FY26'!AN38</f>
        <v>Sloan</v>
      </c>
      <c r="AA38" s="228" t="str">
        <f>'FY27'!AN38</f>
        <v>Sloan</v>
      </c>
      <c r="AB38" s="228" t="str">
        <f>'FY28'!AN38</f>
        <v>Sloan</v>
      </c>
      <c r="AC38" s="228" t="str">
        <f>'FY29'!AN38</f>
        <v>Sloan</v>
      </c>
      <c r="AD38" s="228" t="str">
        <f>'FY30'!AN38</f>
        <v>Sloan</v>
      </c>
      <c r="AF38" s="228" t="str">
        <f>'FY26'!AV38</f>
        <v>Springs</v>
      </c>
      <c r="AG38" s="228" t="str">
        <f>'FY27'!AV38</f>
        <v>Springs</v>
      </c>
      <c r="AH38" s="228" t="str">
        <f>'FY28'!AV38</f>
        <v>Springs</v>
      </c>
      <c r="AI38" s="228" t="str">
        <f>'FY29'!AV38</f>
        <v>Springs</v>
      </c>
      <c r="AJ38" s="228" t="str">
        <f>'FY30'!AV38</f>
        <v>Springs</v>
      </c>
      <c r="AL38" s="228" t="str">
        <f>'FY26'!BD38</f>
        <v>Virtual</v>
      </c>
      <c r="AM38" s="228" t="str">
        <f>'FY27'!BD38</f>
        <v>Virtual</v>
      </c>
      <c r="AN38" s="228" t="str">
        <f>'FY28'!BD38</f>
        <v>Virtual</v>
      </c>
      <c r="AO38" s="228" t="str">
        <f>'FY29'!BD38</f>
        <v>Virtual</v>
      </c>
      <c r="AP38" s="228" t="str">
        <f>'FY30'!BD38</f>
        <v>Virtual</v>
      </c>
      <c r="AR38" s="228" t="str">
        <f>'FY26'!BL38</f>
        <v>Central</v>
      </c>
      <c r="AS38" s="228" t="str">
        <f>'FY27'!BL38</f>
        <v>Central</v>
      </c>
      <c r="AT38" s="228" t="str">
        <f>'FY28'!BL38</f>
        <v>Central</v>
      </c>
      <c r="AU38" s="228" t="str">
        <f>'FY29'!BL38</f>
        <v>Central</v>
      </c>
      <c r="AV38" s="228" t="str">
        <f>'FY30'!BL38</f>
        <v>Central</v>
      </c>
      <c r="AX38" s="228" t="str">
        <f>'FY26'!BT38</f>
        <v>System</v>
      </c>
      <c r="AY38" s="228" t="str">
        <f>'FY27'!BT38</f>
        <v>System</v>
      </c>
      <c r="AZ38" s="228" t="str">
        <f>'FY28'!BT38</f>
        <v>System</v>
      </c>
      <c r="BA38" s="228" t="str">
        <f>'FY29'!BT38</f>
        <v>System</v>
      </c>
      <c r="BB38" s="228" t="str">
        <f>'FY30'!BT38</f>
        <v>System</v>
      </c>
    </row>
    <row r="39" spans="1:54" x14ac:dyDescent="0.25">
      <c r="A39" s="191" t="s">
        <v>53</v>
      </c>
      <c r="B39" s="232">
        <f>'FY26'!H39</f>
        <v>1</v>
      </c>
      <c r="C39" s="232">
        <f>'FY27'!H39</f>
        <v>1</v>
      </c>
      <c r="D39" s="232">
        <f>'FY28'!H39</f>
        <v>1</v>
      </c>
      <c r="E39" s="232">
        <f>'FY29'!H39</f>
        <v>1</v>
      </c>
      <c r="F39" s="232">
        <f>'FY30'!H39</f>
        <v>1</v>
      </c>
      <c r="H39" s="232">
        <f>'FY26'!P39</f>
        <v>1</v>
      </c>
      <c r="I39" s="232">
        <f>'FY27'!P39</f>
        <v>1</v>
      </c>
      <c r="J39" s="232">
        <f>'FY28'!P39</f>
        <v>1</v>
      </c>
      <c r="K39" s="232">
        <f>'FY29'!P39</f>
        <v>1</v>
      </c>
      <c r="L39" s="232">
        <f>'FY30'!P39</f>
        <v>1</v>
      </c>
      <c r="N39" s="232">
        <f>'FY26'!X39</f>
        <v>1</v>
      </c>
      <c r="O39" s="232">
        <f>'FY27'!X39</f>
        <v>1</v>
      </c>
      <c r="P39" s="232">
        <f>'FY28'!X39</f>
        <v>1</v>
      </c>
      <c r="Q39" s="232">
        <f>'FY29'!X39</f>
        <v>1</v>
      </c>
      <c r="R39" s="232">
        <f>'FY30'!X39</f>
        <v>1</v>
      </c>
      <c r="T39" s="232">
        <f>'FY26'!AF39</f>
        <v>1</v>
      </c>
      <c r="U39" s="232">
        <f>'FY27'!AF39</f>
        <v>1</v>
      </c>
      <c r="V39" s="232">
        <f>'FY28'!AF39</f>
        <v>1</v>
      </c>
      <c r="W39" s="232">
        <f>'FY29'!AF39</f>
        <v>1</v>
      </c>
      <c r="X39" s="232">
        <f>'FY30'!AF39</f>
        <v>1</v>
      </c>
      <c r="Z39" s="232">
        <f>'FY26'!AN39</f>
        <v>1</v>
      </c>
      <c r="AA39" s="232">
        <f>'FY27'!AN39</f>
        <v>1</v>
      </c>
      <c r="AB39" s="232">
        <f>'FY28'!AN39</f>
        <v>1</v>
      </c>
      <c r="AC39" s="232">
        <f>'FY29'!AN39</f>
        <v>1</v>
      </c>
      <c r="AD39" s="232">
        <f>'FY30'!AN39</f>
        <v>1</v>
      </c>
      <c r="AF39" s="232">
        <f>'FY26'!AV39</f>
        <v>1</v>
      </c>
      <c r="AG39" s="232">
        <f>'FY27'!AV39</f>
        <v>1</v>
      </c>
      <c r="AH39" s="232">
        <f>'FY28'!AV39</f>
        <v>1</v>
      </c>
      <c r="AI39" s="232">
        <f>'FY29'!AV39</f>
        <v>1</v>
      </c>
      <c r="AJ39" s="232">
        <f>'FY30'!AV39</f>
        <v>1</v>
      </c>
      <c r="AL39" s="232">
        <f>'FY26'!BD39</f>
        <v>0</v>
      </c>
      <c r="AM39" s="232">
        <f>'FY27'!BD39</f>
        <v>0</v>
      </c>
      <c r="AN39" s="232">
        <f>'FY28'!BD39</f>
        <v>0</v>
      </c>
      <c r="AO39" s="232">
        <f>'FY29'!BD39</f>
        <v>0</v>
      </c>
      <c r="AP39" s="232">
        <f>'FY30'!BD39</f>
        <v>0</v>
      </c>
      <c r="AR39" s="232">
        <f>'FY26'!BL39</f>
        <v>0</v>
      </c>
      <c r="AS39" s="232">
        <f>'FY27'!BL39</f>
        <v>0</v>
      </c>
      <c r="AT39" s="232">
        <f>'FY28'!BL39</f>
        <v>0</v>
      </c>
      <c r="AU39" s="232">
        <f>'FY29'!BL39</f>
        <v>0</v>
      </c>
      <c r="AV39" s="232">
        <f>'FY30'!BL39</f>
        <v>0</v>
      </c>
      <c r="AX39" s="232">
        <f>'FY26'!BT39</f>
        <v>6</v>
      </c>
      <c r="AY39" s="232">
        <f>'FY27'!BT39</f>
        <v>6</v>
      </c>
      <c r="AZ39" s="232">
        <f>'FY28'!BT39</f>
        <v>6</v>
      </c>
      <c r="BA39" s="232">
        <f>'FY29'!BT39</f>
        <v>6</v>
      </c>
      <c r="BB39" s="232">
        <f>'FY30'!BT39</f>
        <v>6</v>
      </c>
    </row>
    <row r="40" spans="1:54" x14ac:dyDescent="0.25">
      <c r="A40" s="191" t="s">
        <v>191</v>
      </c>
      <c r="B40" s="232">
        <f>'FY26'!H40</f>
        <v>3</v>
      </c>
      <c r="C40" s="232">
        <f>'FY27'!H40</f>
        <v>3</v>
      </c>
      <c r="D40" s="232">
        <f>'FY28'!H40</f>
        <v>3</v>
      </c>
      <c r="E40" s="232">
        <f>'FY29'!H40</f>
        <v>3</v>
      </c>
      <c r="F40" s="232">
        <f>'FY30'!H40</f>
        <v>3</v>
      </c>
      <c r="H40" s="232">
        <f>'FY26'!P40</f>
        <v>6</v>
      </c>
      <c r="I40" s="232">
        <f>'FY27'!P40</f>
        <v>6</v>
      </c>
      <c r="J40" s="232">
        <f>'FY28'!P40</f>
        <v>6</v>
      </c>
      <c r="K40" s="232">
        <f>'FY29'!P40</f>
        <v>6</v>
      </c>
      <c r="L40" s="232">
        <f>'FY30'!P40</f>
        <v>6</v>
      </c>
      <c r="N40" s="232">
        <f>'FY26'!X40</f>
        <v>3</v>
      </c>
      <c r="O40" s="232">
        <f>'FY27'!X40</f>
        <v>3</v>
      </c>
      <c r="P40" s="232">
        <f>'FY28'!X40</f>
        <v>3</v>
      </c>
      <c r="Q40" s="232">
        <f>'FY29'!X40</f>
        <v>3</v>
      </c>
      <c r="R40" s="232">
        <f>'FY30'!X40</f>
        <v>3</v>
      </c>
      <c r="T40" s="232">
        <f>'FY26'!AF40</f>
        <v>2</v>
      </c>
      <c r="U40" s="232">
        <f>'FY27'!AF40</f>
        <v>2</v>
      </c>
      <c r="V40" s="232">
        <f>'FY28'!AF40</f>
        <v>2</v>
      </c>
      <c r="W40" s="232">
        <f>'FY29'!AF40</f>
        <v>2</v>
      </c>
      <c r="X40" s="232">
        <f>'FY30'!AF40</f>
        <v>2</v>
      </c>
      <c r="Z40" s="232">
        <f>'FY26'!AN40</f>
        <v>4</v>
      </c>
      <c r="AA40" s="232">
        <f>'FY27'!AN40</f>
        <v>4</v>
      </c>
      <c r="AB40" s="232">
        <f>'FY28'!AN40</f>
        <v>4</v>
      </c>
      <c r="AC40" s="232">
        <f>'FY29'!AN40</f>
        <v>4</v>
      </c>
      <c r="AD40" s="232">
        <f>'FY30'!AN40</f>
        <v>4</v>
      </c>
      <c r="AF40" s="232">
        <f>'FY26'!AV40</f>
        <v>0</v>
      </c>
      <c r="AG40" s="232">
        <f>'FY27'!AV40</f>
        <v>1</v>
      </c>
      <c r="AH40" s="232">
        <f>'FY28'!AV40</f>
        <v>1</v>
      </c>
      <c r="AI40" s="232">
        <f>'FY29'!AV40</f>
        <v>2</v>
      </c>
      <c r="AJ40" s="232">
        <f>'FY30'!AV40</f>
        <v>2</v>
      </c>
      <c r="AL40" s="232">
        <f>'FY26'!BD40</f>
        <v>0</v>
      </c>
      <c r="AM40" s="232">
        <f>'FY27'!BD40</f>
        <v>0</v>
      </c>
      <c r="AN40" s="232">
        <f>'FY28'!BD40</f>
        <v>0</v>
      </c>
      <c r="AO40" s="232">
        <f>'FY29'!BD40</f>
        <v>0</v>
      </c>
      <c r="AP40" s="232">
        <f>'FY30'!BD40</f>
        <v>0</v>
      </c>
      <c r="AR40" s="232">
        <f>'FY26'!BL40</f>
        <v>1</v>
      </c>
      <c r="AS40" s="232">
        <f>'FY27'!BL40</f>
        <v>1</v>
      </c>
      <c r="AT40" s="232">
        <f>'FY28'!BL40</f>
        <v>1</v>
      </c>
      <c r="AU40" s="232">
        <f>'FY29'!BL40</f>
        <v>1</v>
      </c>
      <c r="AV40" s="232">
        <f>'FY30'!BL40</f>
        <v>1</v>
      </c>
      <c r="AX40" s="232">
        <f>'FY26'!BT40</f>
        <v>19</v>
      </c>
      <c r="AY40" s="232">
        <f>'FY27'!BT40</f>
        <v>20</v>
      </c>
      <c r="AZ40" s="232">
        <f>'FY28'!BT40</f>
        <v>20</v>
      </c>
      <c r="BA40" s="232">
        <f>'FY29'!BT40</f>
        <v>21</v>
      </c>
      <c r="BB40" s="232">
        <f>'FY30'!BT40</f>
        <v>21</v>
      </c>
    </row>
    <row r="41" spans="1:54" x14ac:dyDescent="0.25">
      <c r="A41" s="194" t="s">
        <v>192</v>
      </c>
      <c r="B41" s="232">
        <f>'FY26'!H41</f>
        <v>0</v>
      </c>
      <c r="C41" s="232">
        <f>'FY27'!H41</f>
        <v>0</v>
      </c>
      <c r="D41" s="232">
        <f>'FY28'!H41</f>
        <v>0</v>
      </c>
      <c r="E41" s="232">
        <f>'FY29'!H41</f>
        <v>0</v>
      </c>
      <c r="F41" s="232">
        <f>'FY30'!H41</f>
        <v>0</v>
      </c>
      <c r="H41" s="232">
        <f>'FY26'!P41</f>
        <v>1</v>
      </c>
      <c r="I41" s="232">
        <f>'FY27'!P41</f>
        <v>1</v>
      </c>
      <c r="J41" s="232">
        <f>'FY28'!P41</f>
        <v>1</v>
      </c>
      <c r="K41" s="232">
        <f>'FY29'!P41</f>
        <v>1</v>
      </c>
      <c r="L41" s="232">
        <f>'FY30'!P41</f>
        <v>1</v>
      </c>
      <c r="N41" s="232">
        <f>'FY26'!X41</f>
        <v>0</v>
      </c>
      <c r="O41" s="232">
        <f>'FY27'!X41</f>
        <v>0</v>
      </c>
      <c r="P41" s="232">
        <f>'FY28'!X41</f>
        <v>0</v>
      </c>
      <c r="Q41" s="232">
        <f>'FY29'!X41</f>
        <v>0</v>
      </c>
      <c r="R41" s="232">
        <f>'FY30'!X41</f>
        <v>0</v>
      </c>
      <c r="T41" s="232">
        <f>'FY26'!AF41</f>
        <v>0</v>
      </c>
      <c r="U41" s="232">
        <f>'FY27'!AF41</f>
        <v>0</v>
      </c>
      <c r="V41" s="232">
        <f>'FY28'!AF41</f>
        <v>0</v>
      </c>
      <c r="W41" s="232">
        <f>'FY29'!AF41</f>
        <v>0</v>
      </c>
      <c r="X41" s="232">
        <f>'FY30'!AF41</f>
        <v>0</v>
      </c>
      <c r="Z41" s="232">
        <f>'FY26'!AN41</f>
        <v>0</v>
      </c>
      <c r="AA41" s="232">
        <f>'FY27'!AN41</f>
        <v>0</v>
      </c>
      <c r="AB41" s="232">
        <f>'FY28'!AN41</f>
        <v>0</v>
      </c>
      <c r="AC41" s="232">
        <f>'FY29'!AN41</f>
        <v>0</v>
      </c>
      <c r="AD41" s="232">
        <f>'FY30'!AN41</f>
        <v>0</v>
      </c>
      <c r="AF41" s="232">
        <f>'FY26'!AV41</f>
        <v>1</v>
      </c>
      <c r="AG41" s="232">
        <f>'FY27'!AV41</f>
        <v>1</v>
      </c>
      <c r="AH41" s="232">
        <f>'FY28'!AV41</f>
        <v>1</v>
      </c>
      <c r="AI41" s="232">
        <f>'FY29'!AV41</f>
        <v>1</v>
      </c>
      <c r="AJ41" s="232">
        <f>'FY30'!AV41</f>
        <v>1</v>
      </c>
      <c r="AL41" s="232">
        <f>'FY26'!BD41</f>
        <v>0</v>
      </c>
      <c r="AM41" s="232">
        <f>'FY27'!BD41</f>
        <v>0</v>
      </c>
      <c r="AN41" s="232">
        <f>'FY28'!BD41</f>
        <v>0</v>
      </c>
      <c r="AO41" s="232">
        <f>'FY29'!BD41</f>
        <v>0</v>
      </c>
      <c r="AP41" s="232">
        <f>'FY30'!BD41</f>
        <v>0</v>
      </c>
      <c r="AR41" s="232">
        <f>'FY26'!BL41</f>
        <v>0</v>
      </c>
      <c r="AS41" s="232">
        <f>'FY27'!BL41</f>
        <v>0</v>
      </c>
      <c r="AT41" s="232">
        <f>'FY28'!BL41</f>
        <v>0</v>
      </c>
      <c r="AU41" s="232">
        <f>'FY29'!BL41</f>
        <v>0</v>
      </c>
      <c r="AV41" s="232">
        <f>'FY30'!BL41</f>
        <v>0</v>
      </c>
      <c r="AX41" s="232">
        <f>'FY26'!BT41</f>
        <v>2</v>
      </c>
      <c r="AY41" s="232">
        <f>'FY27'!BT41</f>
        <v>2</v>
      </c>
      <c r="AZ41" s="232">
        <f>'FY28'!BT41</f>
        <v>2</v>
      </c>
      <c r="BA41" s="232">
        <f>'FY29'!BT41</f>
        <v>2</v>
      </c>
      <c r="BB41" s="232">
        <f>'FY30'!BT41</f>
        <v>2</v>
      </c>
    </row>
    <row r="42" spans="1:54" x14ac:dyDescent="0.25">
      <c r="A42" s="191" t="s">
        <v>193</v>
      </c>
      <c r="B42" s="232">
        <f>'FY26'!H42</f>
        <v>0</v>
      </c>
      <c r="C42" s="232">
        <f>'FY27'!H42</f>
        <v>0</v>
      </c>
      <c r="D42" s="232">
        <f>'FY28'!H42</f>
        <v>0</v>
      </c>
      <c r="E42" s="232">
        <f>'FY29'!H42</f>
        <v>0</v>
      </c>
      <c r="F42" s="232">
        <f>'FY30'!H42</f>
        <v>0</v>
      </c>
      <c r="H42" s="232">
        <f>'FY26'!P42</f>
        <v>4</v>
      </c>
      <c r="I42" s="232">
        <f>'FY27'!P42</f>
        <v>4</v>
      </c>
      <c r="J42" s="232">
        <f>'FY28'!P42</f>
        <v>4</v>
      </c>
      <c r="K42" s="232">
        <f>'FY29'!P42</f>
        <v>4</v>
      </c>
      <c r="L42" s="232">
        <f>'FY30'!P42</f>
        <v>4</v>
      </c>
      <c r="N42" s="232">
        <f>'FY26'!X42</f>
        <v>1</v>
      </c>
      <c r="O42" s="232">
        <f>'FY27'!X42</f>
        <v>1</v>
      </c>
      <c r="P42" s="232">
        <f>'FY28'!X42</f>
        <v>1</v>
      </c>
      <c r="Q42" s="232">
        <f>'FY29'!X42</f>
        <v>1</v>
      </c>
      <c r="R42" s="232">
        <f>'FY30'!X42</f>
        <v>1</v>
      </c>
      <c r="T42" s="232">
        <f>'FY26'!AF42</f>
        <v>0</v>
      </c>
      <c r="U42" s="232">
        <f>'FY27'!AF42</f>
        <v>0</v>
      </c>
      <c r="V42" s="232">
        <f>'FY28'!AF42</f>
        <v>0</v>
      </c>
      <c r="W42" s="232">
        <f>'FY29'!AF42</f>
        <v>0</v>
      </c>
      <c r="X42" s="232">
        <f>'FY30'!AF42</f>
        <v>0</v>
      </c>
      <c r="Z42" s="232">
        <f>'FY26'!AN42</f>
        <v>3</v>
      </c>
      <c r="AA42" s="232">
        <f>'FY27'!AN42</f>
        <v>3</v>
      </c>
      <c r="AB42" s="232">
        <f>'FY28'!AN42</f>
        <v>3</v>
      </c>
      <c r="AC42" s="232">
        <f>'FY29'!AN42</f>
        <v>3</v>
      </c>
      <c r="AD42" s="232">
        <f>'FY30'!AN42</f>
        <v>3</v>
      </c>
      <c r="AF42" s="232">
        <f>'FY26'!AV42</f>
        <v>0</v>
      </c>
      <c r="AG42" s="232">
        <f>'FY27'!AV42</f>
        <v>0</v>
      </c>
      <c r="AH42" s="232">
        <f>'FY28'!AV42</f>
        <v>0</v>
      </c>
      <c r="AI42" s="232">
        <f>'FY29'!AV42</f>
        <v>0</v>
      </c>
      <c r="AJ42" s="232">
        <f>'FY30'!AV42</f>
        <v>0</v>
      </c>
      <c r="AL42" s="232">
        <f>'FY26'!BD42</f>
        <v>0</v>
      </c>
      <c r="AM42" s="232">
        <f>'FY27'!BD42</f>
        <v>0</v>
      </c>
      <c r="AN42" s="232">
        <f>'FY28'!BD42</f>
        <v>0</v>
      </c>
      <c r="AO42" s="232">
        <f>'FY29'!BD42</f>
        <v>0</v>
      </c>
      <c r="AP42" s="232">
        <f>'FY30'!BD42</f>
        <v>0</v>
      </c>
      <c r="AR42" s="232">
        <f>'FY26'!BL42</f>
        <v>0</v>
      </c>
      <c r="AS42" s="232">
        <f>'FY27'!BL42</f>
        <v>0</v>
      </c>
      <c r="AT42" s="232">
        <f>'FY28'!BL42</f>
        <v>0</v>
      </c>
      <c r="AU42" s="232">
        <f>'FY29'!BL42</f>
        <v>0</v>
      </c>
      <c r="AV42" s="232">
        <f>'FY30'!BL42</f>
        <v>0</v>
      </c>
      <c r="AX42" s="232">
        <f>'FY26'!BT42</f>
        <v>8</v>
      </c>
      <c r="AY42" s="232">
        <f>'FY27'!BT42</f>
        <v>8</v>
      </c>
      <c r="AZ42" s="232">
        <f>'FY28'!BT42</f>
        <v>8</v>
      </c>
      <c r="BA42" s="232">
        <f>'FY29'!BT42</f>
        <v>8</v>
      </c>
      <c r="BB42" s="232">
        <f>'FY30'!BT42</f>
        <v>8</v>
      </c>
    </row>
    <row r="43" spans="1:54" x14ac:dyDescent="0.25">
      <c r="A43" s="191" t="s">
        <v>194</v>
      </c>
      <c r="B43" s="232">
        <f>'FY26'!H43</f>
        <v>2</v>
      </c>
      <c r="C43" s="232">
        <f>'FY27'!H43</f>
        <v>2</v>
      </c>
      <c r="D43" s="232">
        <f>'FY28'!H43</f>
        <v>2</v>
      </c>
      <c r="E43" s="232">
        <f>'FY29'!H43</f>
        <v>2</v>
      </c>
      <c r="F43" s="232">
        <f>'FY30'!H43</f>
        <v>2</v>
      </c>
      <c r="H43" s="232">
        <f>'FY26'!P43</f>
        <v>3</v>
      </c>
      <c r="I43" s="232">
        <f>'FY27'!P43</f>
        <v>3</v>
      </c>
      <c r="J43" s="232">
        <f>'FY28'!P43</f>
        <v>3</v>
      </c>
      <c r="K43" s="232">
        <f>'FY29'!P43</f>
        <v>3</v>
      </c>
      <c r="L43" s="232">
        <f>'FY30'!P43</f>
        <v>3</v>
      </c>
      <c r="N43" s="232">
        <f>'FY26'!X43</f>
        <v>1</v>
      </c>
      <c r="O43" s="232">
        <f>'FY27'!X43</f>
        <v>1</v>
      </c>
      <c r="P43" s="232">
        <f>'FY28'!X43</f>
        <v>1</v>
      </c>
      <c r="Q43" s="232">
        <f>'FY29'!X43</f>
        <v>1</v>
      </c>
      <c r="R43" s="232">
        <f>'FY30'!X43</f>
        <v>1</v>
      </c>
      <c r="T43" s="232">
        <f>'FY26'!AF43</f>
        <v>3</v>
      </c>
      <c r="U43" s="232">
        <f>'FY27'!AF43</f>
        <v>3</v>
      </c>
      <c r="V43" s="232">
        <f>'FY28'!AF43</f>
        <v>3</v>
      </c>
      <c r="W43" s="232">
        <f>'FY29'!AF43</f>
        <v>3</v>
      </c>
      <c r="X43" s="232">
        <f>'FY30'!AF43</f>
        <v>3</v>
      </c>
      <c r="Z43" s="232">
        <f>'FY26'!AN43</f>
        <v>2</v>
      </c>
      <c r="AA43" s="232">
        <f>'FY27'!AN43</f>
        <v>2</v>
      </c>
      <c r="AB43" s="232">
        <f>'FY28'!AN43</f>
        <v>2</v>
      </c>
      <c r="AC43" s="232">
        <f>'FY29'!AN43</f>
        <v>2</v>
      </c>
      <c r="AD43" s="232">
        <f>'FY30'!AN43</f>
        <v>2</v>
      </c>
      <c r="AF43" s="232">
        <f>'FY26'!AV43</f>
        <v>0</v>
      </c>
      <c r="AG43" s="232">
        <f>'FY27'!AV43</f>
        <v>0</v>
      </c>
      <c r="AH43" s="232">
        <f>'FY28'!AV43</f>
        <v>1</v>
      </c>
      <c r="AI43" s="232">
        <f>'FY29'!AV43</f>
        <v>1</v>
      </c>
      <c r="AJ43" s="232">
        <f>'FY30'!AV43</f>
        <v>1</v>
      </c>
      <c r="AL43" s="232">
        <f>'FY26'!BD43</f>
        <v>1</v>
      </c>
      <c r="AM43" s="232">
        <f>'FY27'!BD43</f>
        <v>1</v>
      </c>
      <c r="AN43" s="232">
        <f>'FY28'!BD43</f>
        <v>1</v>
      </c>
      <c r="AO43" s="232">
        <f>'FY29'!BD43</f>
        <v>1</v>
      </c>
      <c r="AP43" s="232">
        <f>'FY30'!BD43</f>
        <v>1</v>
      </c>
      <c r="AR43" s="232">
        <f>'FY26'!BL43</f>
        <v>1</v>
      </c>
      <c r="AS43" s="232">
        <f>'FY27'!BL43</f>
        <v>1</v>
      </c>
      <c r="AT43" s="232">
        <f>'FY28'!BL43</f>
        <v>1</v>
      </c>
      <c r="AU43" s="232">
        <f>'FY29'!BL43</f>
        <v>1</v>
      </c>
      <c r="AV43" s="232">
        <f>'FY30'!BL43</f>
        <v>1</v>
      </c>
      <c r="AX43" s="232">
        <f>'FY26'!BT43</f>
        <v>13</v>
      </c>
      <c r="AY43" s="232">
        <f>'FY27'!BT43</f>
        <v>13</v>
      </c>
      <c r="AZ43" s="232">
        <f>'FY28'!BT43</f>
        <v>14</v>
      </c>
      <c r="BA43" s="232">
        <f>'FY29'!BT43</f>
        <v>14</v>
      </c>
      <c r="BB43" s="232">
        <f>'FY30'!BT43</f>
        <v>14</v>
      </c>
    </row>
    <row r="44" spans="1:54" x14ac:dyDescent="0.25">
      <c r="A44" s="191" t="s">
        <v>195</v>
      </c>
      <c r="B44" s="232">
        <f>'FY26'!H44</f>
        <v>0</v>
      </c>
      <c r="C44" s="232">
        <f>'FY27'!H44</f>
        <v>0</v>
      </c>
      <c r="D44" s="232">
        <f>'FY28'!H44</f>
        <v>0</v>
      </c>
      <c r="E44" s="232">
        <f>'FY29'!H44</f>
        <v>0</v>
      </c>
      <c r="F44" s="232">
        <f>'FY30'!H44</f>
        <v>0</v>
      </c>
      <c r="H44" s="232">
        <f>'FY26'!P44</f>
        <v>5</v>
      </c>
      <c r="I44" s="232">
        <f>'FY27'!P44</f>
        <v>5</v>
      </c>
      <c r="J44" s="232">
        <f>'FY28'!P44</f>
        <v>5</v>
      </c>
      <c r="K44" s="232">
        <f>'FY29'!P44</f>
        <v>5</v>
      </c>
      <c r="L44" s="232">
        <f>'FY30'!P44</f>
        <v>5</v>
      </c>
      <c r="N44" s="232">
        <f>'FY26'!X44</f>
        <v>0</v>
      </c>
      <c r="O44" s="232">
        <f>'FY27'!X44</f>
        <v>0</v>
      </c>
      <c r="P44" s="232">
        <f>'FY28'!X44</f>
        <v>0</v>
      </c>
      <c r="Q44" s="232">
        <f>'FY29'!X44</f>
        <v>0</v>
      </c>
      <c r="R44" s="232">
        <f>'FY30'!X44</f>
        <v>0</v>
      </c>
      <c r="T44" s="232">
        <f>'FY26'!AF44</f>
        <v>0</v>
      </c>
      <c r="U44" s="232">
        <f>'FY27'!AF44</f>
        <v>0</v>
      </c>
      <c r="V44" s="232">
        <f>'FY28'!AF44</f>
        <v>0</v>
      </c>
      <c r="W44" s="232">
        <f>'FY29'!AF44</f>
        <v>0</v>
      </c>
      <c r="X44" s="232">
        <f>'FY30'!AF44</f>
        <v>0</v>
      </c>
      <c r="Z44" s="232">
        <f>'FY26'!AN44</f>
        <v>4</v>
      </c>
      <c r="AA44" s="232">
        <f>'FY27'!AN44</f>
        <v>4</v>
      </c>
      <c r="AB44" s="232">
        <f>'FY28'!AN44</f>
        <v>4</v>
      </c>
      <c r="AC44" s="232">
        <f>'FY29'!AN44</f>
        <v>4</v>
      </c>
      <c r="AD44" s="232">
        <f>'FY30'!AN44</f>
        <v>4</v>
      </c>
      <c r="AF44" s="232">
        <f>'FY26'!AV44</f>
        <v>0</v>
      </c>
      <c r="AG44" s="232">
        <f>'FY27'!AV44</f>
        <v>0</v>
      </c>
      <c r="AH44" s="232">
        <f>'FY28'!AV44</f>
        <v>0</v>
      </c>
      <c r="AI44" s="232">
        <f>'FY29'!AV44</f>
        <v>0</v>
      </c>
      <c r="AJ44" s="232">
        <f>'FY30'!AV44</f>
        <v>0</v>
      </c>
      <c r="AL44" s="232">
        <f>'FY26'!BD44</f>
        <v>0</v>
      </c>
      <c r="AM44" s="232">
        <f>'FY27'!BD44</f>
        <v>0</v>
      </c>
      <c r="AN44" s="232">
        <f>'FY28'!BD44</f>
        <v>0</v>
      </c>
      <c r="AO44" s="232">
        <f>'FY29'!BD44</f>
        <v>0</v>
      </c>
      <c r="AP44" s="232">
        <f>'FY30'!BD44</f>
        <v>0</v>
      </c>
      <c r="AR44" s="232">
        <f>'FY26'!BL44</f>
        <v>0</v>
      </c>
      <c r="AS44" s="232">
        <f>'FY27'!BL44</f>
        <v>0</v>
      </c>
      <c r="AT44" s="232">
        <f>'FY28'!BL44</f>
        <v>0</v>
      </c>
      <c r="AU44" s="232">
        <f>'FY29'!BL44</f>
        <v>0</v>
      </c>
      <c r="AV44" s="232">
        <f>'FY30'!BL44</f>
        <v>0</v>
      </c>
      <c r="AX44" s="232">
        <f>'FY26'!BT44</f>
        <v>9</v>
      </c>
      <c r="AY44" s="232">
        <f>'FY27'!BT44</f>
        <v>9</v>
      </c>
      <c r="AZ44" s="232">
        <f>'FY28'!BT44</f>
        <v>9</v>
      </c>
      <c r="BA44" s="232">
        <f>'FY29'!BT44</f>
        <v>9</v>
      </c>
      <c r="BB44" s="232">
        <f>'FY30'!BT44</f>
        <v>9</v>
      </c>
    </row>
    <row r="45" spans="1:54" x14ac:dyDescent="0.25">
      <c r="A45" s="191" t="s">
        <v>196</v>
      </c>
      <c r="B45" s="232">
        <f>'FY26'!H45</f>
        <v>0</v>
      </c>
      <c r="C45" s="232">
        <f>'FY27'!H45</f>
        <v>0</v>
      </c>
      <c r="D45" s="232">
        <f>'FY28'!H45</f>
        <v>0</v>
      </c>
      <c r="E45" s="232">
        <f>'FY29'!H45</f>
        <v>0</v>
      </c>
      <c r="F45" s="232">
        <f>'FY30'!H45</f>
        <v>0</v>
      </c>
      <c r="H45" s="232">
        <f>'FY26'!P45</f>
        <v>1</v>
      </c>
      <c r="I45" s="232">
        <f>'FY27'!P45</f>
        <v>1</v>
      </c>
      <c r="J45" s="232">
        <f>'FY28'!P45</f>
        <v>1</v>
      </c>
      <c r="K45" s="232">
        <f>'FY29'!P45</f>
        <v>1</v>
      </c>
      <c r="L45" s="232">
        <f>'FY30'!P45</f>
        <v>1</v>
      </c>
      <c r="N45" s="232">
        <f>'FY26'!X45</f>
        <v>0</v>
      </c>
      <c r="O45" s="232">
        <f>'FY27'!X45</f>
        <v>0</v>
      </c>
      <c r="P45" s="232">
        <f>'FY28'!X45</f>
        <v>0</v>
      </c>
      <c r="Q45" s="232">
        <f>'FY29'!X45</f>
        <v>0</v>
      </c>
      <c r="R45" s="232">
        <f>'FY30'!X45</f>
        <v>0</v>
      </c>
      <c r="T45" s="232">
        <f>'FY26'!AF45</f>
        <v>0</v>
      </c>
      <c r="U45" s="232">
        <f>'FY27'!AF45</f>
        <v>0</v>
      </c>
      <c r="V45" s="232">
        <f>'FY28'!AF45</f>
        <v>0</v>
      </c>
      <c r="W45" s="232">
        <f>'FY29'!AF45</f>
        <v>0</v>
      </c>
      <c r="X45" s="232">
        <f>'FY30'!AF45</f>
        <v>0</v>
      </c>
      <c r="Z45" s="232">
        <f>'FY26'!AN45</f>
        <v>0</v>
      </c>
      <c r="AA45" s="232">
        <f>'FY27'!AN45</f>
        <v>0</v>
      </c>
      <c r="AB45" s="232">
        <f>'FY28'!AN45</f>
        <v>0</v>
      </c>
      <c r="AC45" s="232">
        <f>'FY29'!AN45</f>
        <v>0</v>
      </c>
      <c r="AD45" s="232">
        <f>'FY30'!AN45</f>
        <v>0</v>
      </c>
      <c r="AF45" s="232">
        <f>'FY26'!AV45</f>
        <v>0</v>
      </c>
      <c r="AG45" s="232">
        <f>'FY27'!AV45</f>
        <v>0</v>
      </c>
      <c r="AH45" s="232">
        <f>'FY28'!AV45</f>
        <v>0</v>
      </c>
      <c r="AI45" s="232">
        <f>'FY29'!AV45</f>
        <v>0</v>
      </c>
      <c r="AJ45" s="232">
        <f>'FY30'!AV45</f>
        <v>0</v>
      </c>
      <c r="AL45" s="232">
        <f>'FY26'!BD45</f>
        <v>0</v>
      </c>
      <c r="AM45" s="232">
        <f>'FY27'!BD45</f>
        <v>0</v>
      </c>
      <c r="AN45" s="232">
        <f>'FY28'!BD45</f>
        <v>0</v>
      </c>
      <c r="AO45" s="232">
        <f>'FY29'!BD45</f>
        <v>0</v>
      </c>
      <c r="AP45" s="232">
        <f>'FY30'!BD45</f>
        <v>0</v>
      </c>
      <c r="AR45" s="232">
        <f>'FY26'!BL45</f>
        <v>0</v>
      </c>
      <c r="AS45" s="232">
        <f>'FY27'!BL45</f>
        <v>0</v>
      </c>
      <c r="AT45" s="232">
        <f>'FY28'!BL45</f>
        <v>0</v>
      </c>
      <c r="AU45" s="232">
        <f>'FY29'!BL45</f>
        <v>0</v>
      </c>
      <c r="AV45" s="232">
        <f>'FY30'!BL45</f>
        <v>0</v>
      </c>
      <c r="AX45" s="232">
        <f>'FY26'!BT45</f>
        <v>1</v>
      </c>
      <c r="AY45" s="232">
        <f>'FY27'!BT45</f>
        <v>1</v>
      </c>
      <c r="AZ45" s="232">
        <f>'FY28'!BT45</f>
        <v>1</v>
      </c>
      <c r="BA45" s="232">
        <f>'FY29'!BT45</f>
        <v>1</v>
      </c>
      <c r="BB45" s="232">
        <f>'FY30'!BT45</f>
        <v>1</v>
      </c>
    </row>
    <row r="46" spans="1:54" x14ac:dyDescent="0.25">
      <c r="A46" s="191" t="s">
        <v>197</v>
      </c>
      <c r="B46" s="232">
        <f>'FY26'!H46</f>
        <v>2</v>
      </c>
      <c r="C46" s="232">
        <f>'FY27'!H46</f>
        <v>2</v>
      </c>
      <c r="D46" s="232">
        <f>'FY28'!H46</f>
        <v>2</v>
      </c>
      <c r="E46" s="232">
        <f>'FY29'!H46</f>
        <v>2</v>
      </c>
      <c r="F46" s="232">
        <f>'FY30'!H46</f>
        <v>2</v>
      </c>
      <c r="H46" s="232">
        <f>'FY26'!P46</f>
        <v>4</v>
      </c>
      <c r="I46" s="232">
        <f>'FY27'!P46</f>
        <v>4</v>
      </c>
      <c r="J46" s="232">
        <f>'FY28'!P46</f>
        <v>4</v>
      </c>
      <c r="K46" s="232">
        <f>'FY29'!P46</f>
        <v>4</v>
      </c>
      <c r="L46" s="232">
        <f>'FY30'!P46</f>
        <v>4</v>
      </c>
      <c r="N46" s="232">
        <f>'FY26'!X46</f>
        <v>1</v>
      </c>
      <c r="O46" s="232">
        <f>'FY27'!X46</f>
        <v>1</v>
      </c>
      <c r="P46" s="232">
        <f>'FY28'!X46</f>
        <v>1</v>
      </c>
      <c r="Q46" s="232">
        <f>'FY29'!X46</f>
        <v>1</v>
      </c>
      <c r="R46" s="232">
        <f>'FY30'!X46</f>
        <v>1</v>
      </c>
      <c r="T46" s="232">
        <f>'FY26'!AF46</f>
        <v>1</v>
      </c>
      <c r="U46" s="232">
        <f>'FY27'!AF46</f>
        <v>1</v>
      </c>
      <c r="V46" s="232">
        <f>'FY28'!AF46</f>
        <v>1</v>
      </c>
      <c r="W46" s="232">
        <f>'FY29'!AF46</f>
        <v>1</v>
      </c>
      <c r="X46" s="232">
        <f>'FY30'!AF46</f>
        <v>1</v>
      </c>
      <c r="Z46" s="232">
        <f>'FY26'!AN46</f>
        <v>3</v>
      </c>
      <c r="AA46" s="232">
        <f>'FY27'!AN46</f>
        <v>3</v>
      </c>
      <c r="AB46" s="232">
        <f>'FY28'!AN46</f>
        <v>3</v>
      </c>
      <c r="AC46" s="232">
        <f>'FY29'!AN46</f>
        <v>3</v>
      </c>
      <c r="AD46" s="232">
        <f>'FY30'!AN46</f>
        <v>3</v>
      </c>
      <c r="AF46" s="232">
        <f>'FY26'!AV46</f>
        <v>1</v>
      </c>
      <c r="AG46" s="232">
        <f>'FY27'!AV46</f>
        <v>1</v>
      </c>
      <c r="AH46" s="232">
        <f>'FY28'!AV46</f>
        <v>1</v>
      </c>
      <c r="AI46" s="232">
        <f>'FY29'!AV46</f>
        <v>1</v>
      </c>
      <c r="AJ46" s="232">
        <f>'FY30'!AV46</f>
        <v>1</v>
      </c>
      <c r="AL46" s="232">
        <f>'FY26'!BD46</f>
        <v>0</v>
      </c>
      <c r="AM46" s="232">
        <f>'FY27'!BD46</f>
        <v>0</v>
      </c>
      <c r="AN46" s="232">
        <f>'FY28'!BD46</f>
        <v>0</v>
      </c>
      <c r="AO46" s="232">
        <f>'FY29'!BD46</f>
        <v>0</v>
      </c>
      <c r="AP46" s="232">
        <f>'FY30'!BD46</f>
        <v>0</v>
      </c>
      <c r="AR46" s="232">
        <f>'FY26'!BL46</f>
        <v>1</v>
      </c>
      <c r="AS46" s="232">
        <f>'FY27'!BL46</f>
        <v>1</v>
      </c>
      <c r="AT46" s="232">
        <f>'FY28'!BL46</f>
        <v>1</v>
      </c>
      <c r="AU46" s="232">
        <f>'FY29'!BL46</f>
        <v>1</v>
      </c>
      <c r="AV46" s="232">
        <f>'FY30'!BL46</f>
        <v>1</v>
      </c>
      <c r="AX46" s="232">
        <f>'FY26'!BT46</f>
        <v>13</v>
      </c>
      <c r="AY46" s="232">
        <f>'FY27'!BT46</f>
        <v>13</v>
      </c>
      <c r="AZ46" s="232">
        <f>'FY28'!BT46</f>
        <v>13</v>
      </c>
      <c r="BA46" s="232">
        <f>'FY29'!BT46</f>
        <v>13</v>
      </c>
      <c r="BB46" s="232">
        <f>'FY30'!BT46</f>
        <v>13</v>
      </c>
    </row>
    <row r="47" spans="1:54" x14ac:dyDescent="0.25">
      <c r="A47" s="191" t="s">
        <v>198</v>
      </c>
      <c r="B47" s="232">
        <f>'FY26'!H47</f>
        <v>1</v>
      </c>
      <c r="C47" s="232">
        <f>'FY27'!H47</f>
        <v>1</v>
      </c>
      <c r="D47" s="232">
        <f>'FY28'!H47</f>
        <v>1</v>
      </c>
      <c r="E47" s="232">
        <f>'FY29'!H47</f>
        <v>1</v>
      </c>
      <c r="F47" s="232">
        <f>'FY30'!H47</f>
        <v>1</v>
      </c>
      <c r="H47" s="232">
        <f>'FY26'!P47</f>
        <v>1</v>
      </c>
      <c r="I47" s="232">
        <f>'FY27'!P47</f>
        <v>1</v>
      </c>
      <c r="J47" s="232">
        <f>'FY28'!P47</f>
        <v>1</v>
      </c>
      <c r="K47" s="232">
        <f>'FY29'!P47</f>
        <v>1</v>
      </c>
      <c r="L47" s="232">
        <f>'FY30'!P47</f>
        <v>1</v>
      </c>
      <c r="N47" s="232">
        <f>'FY26'!X47</f>
        <v>1</v>
      </c>
      <c r="O47" s="232">
        <f>'FY27'!X47</f>
        <v>1</v>
      </c>
      <c r="P47" s="232">
        <f>'FY28'!X47</f>
        <v>1</v>
      </c>
      <c r="Q47" s="232">
        <f>'FY29'!X47</f>
        <v>1</v>
      </c>
      <c r="R47" s="232">
        <f>'FY30'!X47</f>
        <v>1</v>
      </c>
      <c r="T47" s="232">
        <f>'FY26'!AF47</f>
        <v>1</v>
      </c>
      <c r="U47" s="232">
        <f>'FY27'!AF47</f>
        <v>1</v>
      </c>
      <c r="V47" s="232">
        <f>'FY28'!AF47</f>
        <v>1</v>
      </c>
      <c r="W47" s="232">
        <f>'FY29'!AF47</f>
        <v>1</v>
      </c>
      <c r="X47" s="232">
        <f>'FY30'!AF47</f>
        <v>1</v>
      </c>
      <c r="Z47" s="232">
        <f>'FY26'!AN47</f>
        <v>2</v>
      </c>
      <c r="AA47" s="232">
        <f>'FY27'!AN47</f>
        <v>2</v>
      </c>
      <c r="AB47" s="232">
        <f>'FY28'!AN47</f>
        <v>2</v>
      </c>
      <c r="AC47" s="232">
        <f>'FY29'!AN47</f>
        <v>2</v>
      </c>
      <c r="AD47" s="232">
        <f>'FY30'!AN47</f>
        <v>2</v>
      </c>
      <c r="AF47" s="232">
        <f>'FY26'!AV47</f>
        <v>0</v>
      </c>
      <c r="AG47" s="232">
        <f>'FY27'!AV47</f>
        <v>1</v>
      </c>
      <c r="AH47" s="232">
        <f>'FY28'!AV47</f>
        <v>1</v>
      </c>
      <c r="AI47" s="232">
        <f>'FY29'!AV47</f>
        <v>1</v>
      </c>
      <c r="AJ47" s="232">
        <f>'FY30'!AV47</f>
        <v>1</v>
      </c>
      <c r="AL47" s="232">
        <f>'FY26'!BD47</f>
        <v>0</v>
      </c>
      <c r="AM47" s="232">
        <f>'FY27'!BD47</f>
        <v>0</v>
      </c>
      <c r="AN47" s="232">
        <f>'FY28'!BD47</f>
        <v>0</v>
      </c>
      <c r="AO47" s="232">
        <f>'FY29'!BD47</f>
        <v>0</v>
      </c>
      <c r="AP47" s="232">
        <f>'FY30'!BD47</f>
        <v>0</v>
      </c>
      <c r="AR47" s="232">
        <f>'FY26'!BL47</f>
        <v>0</v>
      </c>
      <c r="AS47" s="232">
        <f>'FY27'!BL47</f>
        <v>0</v>
      </c>
      <c r="AT47" s="232">
        <f>'FY28'!BL47</f>
        <v>0</v>
      </c>
      <c r="AU47" s="232">
        <f>'FY29'!BL47</f>
        <v>0</v>
      </c>
      <c r="AV47" s="232">
        <f>'FY30'!BL47</f>
        <v>0</v>
      </c>
      <c r="AX47" s="232">
        <f>'FY26'!BT47</f>
        <v>6</v>
      </c>
      <c r="AY47" s="232">
        <f>'FY27'!BT47</f>
        <v>7</v>
      </c>
      <c r="AZ47" s="232">
        <f>'FY28'!BT47</f>
        <v>7</v>
      </c>
      <c r="BA47" s="232">
        <f>'FY29'!BT47</f>
        <v>7</v>
      </c>
      <c r="BB47" s="232">
        <f>'FY30'!BT47</f>
        <v>7</v>
      </c>
    </row>
    <row r="48" spans="1:54" x14ac:dyDescent="0.25">
      <c r="A48" s="191" t="s">
        <v>199</v>
      </c>
      <c r="B48" s="232">
        <f>'FY26'!H48</f>
        <v>1</v>
      </c>
      <c r="C48" s="232">
        <f>'FY27'!H48</f>
        <v>1</v>
      </c>
      <c r="D48" s="232">
        <f>'FY28'!H48</f>
        <v>1</v>
      </c>
      <c r="E48" s="232">
        <f>'FY29'!H48</f>
        <v>1</v>
      </c>
      <c r="F48" s="232">
        <f>'FY30'!H48</f>
        <v>1</v>
      </c>
      <c r="H48" s="232">
        <f>'FY26'!P48</f>
        <v>3</v>
      </c>
      <c r="I48" s="232">
        <f>'FY27'!P48</f>
        <v>3</v>
      </c>
      <c r="J48" s="232">
        <f>'FY28'!P48</f>
        <v>3</v>
      </c>
      <c r="K48" s="232">
        <f>'FY29'!P48</f>
        <v>2</v>
      </c>
      <c r="L48" s="232">
        <f>'FY30'!P48</f>
        <v>2</v>
      </c>
      <c r="N48" s="232">
        <f>'FY26'!X48</f>
        <v>2</v>
      </c>
      <c r="O48" s="232">
        <f>'FY27'!X48</f>
        <v>2</v>
      </c>
      <c r="P48" s="232">
        <f>'FY28'!X48</f>
        <v>2</v>
      </c>
      <c r="Q48" s="232">
        <f>'FY29'!X48</f>
        <v>1</v>
      </c>
      <c r="R48" s="232">
        <f>'FY30'!X48</f>
        <v>1</v>
      </c>
      <c r="T48" s="232">
        <f>'FY26'!AF48</f>
        <v>1</v>
      </c>
      <c r="U48" s="232">
        <f>'FY27'!AF48</f>
        <v>1</v>
      </c>
      <c r="V48" s="232">
        <f>'FY28'!AF48</f>
        <v>1</v>
      </c>
      <c r="W48" s="232">
        <f>'FY29'!AF48</f>
        <v>1</v>
      </c>
      <c r="X48" s="232">
        <f>'FY30'!AF48</f>
        <v>1</v>
      </c>
      <c r="Z48" s="232">
        <f>'FY26'!AN48</f>
        <v>3</v>
      </c>
      <c r="AA48" s="232">
        <f>'FY27'!AN48</f>
        <v>2</v>
      </c>
      <c r="AB48" s="232">
        <f>'FY28'!AN48</f>
        <v>2</v>
      </c>
      <c r="AC48" s="232">
        <f>'FY29'!AN48</f>
        <v>2</v>
      </c>
      <c r="AD48" s="232">
        <f>'FY30'!AN48</f>
        <v>2</v>
      </c>
      <c r="AF48" s="232">
        <f>'FY26'!AV48</f>
        <v>1</v>
      </c>
      <c r="AG48" s="232">
        <f>'FY27'!AV48</f>
        <v>0</v>
      </c>
      <c r="AH48" s="232">
        <f>'FY28'!AV48</f>
        <v>1</v>
      </c>
      <c r="AI48" s="232">
        <f>'FY29'!AV48</f>
        <v>1</v>
      </c>
      <c r="AJ48" s="232">
        <f>'FY30'!AV48</f>
        <v>1</v>
      </c>
      <c r="AL48" s="232">
        <f>'FY26'!BD48</f>
        <v>0</v>
      </c>
      <c r="AM48" s="232">
        <f>'FY27'!BD48</f>
        <v>0</v>
      </c>
      <c r="AN48" s="232">
        <f>'FY28'!BD48</f>
        <v>0</v>
      </c>
      <c r="AO48" s="232">
        <f>'FY29'!BD48</f>
        <v>0</v>
      </c>
      <c r="AP48" s="232">
        <f>'FY30'!BD48</f>
        <v>0</v>
      </c>
      <c r="AR48" s="232">
        <f>'FY26'!BL48</f>
        <v>0</v>
      </c>
      <c r="AS48" s="232">
        <f>'FY27'!BL48</f>
        <v>0</v>
      </c>
      <c r="AT48" s="232">
        <f>'FY28'!BL48</f>
        <v>0</v>
      </c>
      <c r="AU48" s="232">
        <f>'FY29'!BL48</f>
        <v>0</v>
      </c>
      <c r="AV48" s="232">
        <f>'FY30'!BL48</f>
        <v>0</v>
      </c>
      <c r="AX48" s="232">
        <f>'FY26'!BT48</f>
        <v>11</v>
      </c>
      <c r="AY48" s="232">
        <f>'FY27'!BT48</f>
        <v>9</v>
      </c>
      <c r="AZ48" s="232">
        <f>'FY28'!BT48</f>
        <v>10</v>
      </c>
      <c r="BA48" s="232">
        <f>'FY29'!BT48</f>
        <v>8</v>
      </c>
      <c r="BB48" s="232">
        <f>'FY30'!BT48</f>
        <v>8</v>
      </c>
    </row>
    <row r="49" spans="1:54" x14ac:dyDescent="0.25">
      <c r="A49" s="191" t="s">
        <v>200</v>
      </c>
      <c r="B49" s="232">
        <f>'FY26'!H49</f>
        <v>2</v>
      </c>
      <c r="C49" s="232">
        <f>'FY27'!H49</f>
        <v>2</v>
      </c>
      <c r="D49" s="232">
        <f>'FY28'!H49</f>
        <v>2</v>
      </c>
      <c r="E49" s="232">
        <f>'FY29'!H49</f>
        <v>2</v>
      </c>
      <c r="F49" s="232">
        <f>'FY30'!H49</f>
        <v>2</v>
      </c>
      <c r="H49" s="232">
        <f>'FY26'!P49</f>
        <v>3</v>
      </c>
      <c r="I49" s="232">
        <f>'FY27'!P49</f>
        <v>3</v>
      </c>
      <c r="J49" s="232">
        <f>'FY28'!P49</f>
        <v>3</v>
      </c>
      <c r="K49" s="232">
        <f>'FY29'!P49</f>
        <v>3</v>
      </c>
      <c r="L49" s="232">
        <f>'FY30'!P49</f>
        <v>2</v>
      </c>
      <c r="N49" s="232">
        <f>'FY26'!X49</f>
        <v>1</v>
      </c>
      <c r="O49" s="232">
        <f>'FY27'!X49</f>
        <v>1</v>
      </c>
      <c r="P49" s="232">
        <f>'FY28'!X49</f>
        <v>1</v>
      </c>
      <c r="Q49" s="232">
        <f>'FY29'!X49</f>
        <v>1</v>
      </c>
      <c r="R49" s="232">
        <f>'FY30'!X49</f>
        <v>1</v>
      </c>
      <c r="T49" s="232">
        <f>'FY26'!AF49</f>
        <v>1</v>
      </c>
      <c r="U49" s="232">
        <f>'FY27'!AF49</f>
        <v>1</v>
      </c>
      <c r="V49" s="232">
        <f>'FY28'!AF49</f>
        <v>1</v>
      </c>
      <c r="W49" s="232">
        <f>'FY29'!AF49</f>
        <v>1</v>
      </c>
      <c r="X49" s="232">
        <f>'FY30'!AF49</f>
        <v>1</v>
      </c>
      <c r="Z49" s="232">
        <f>'FY26'!AN49</f>
        <v>4</v>
      </c>
      <c r="AA49" s="232">
        <f>'FY27'!AN49</f>
        <v>4</v>
      </c>
      <c r="AB49" s="232">
        <f>'FY28'!AN49</f>
        <v>4</v>
      </c>
      <c r="AC49" s="232">
        <f>'FY29'!AN49</f>
        <v>3</v>
      </c>
      <c r="AD49" s="232">
        <f>'FY30'!AN49</f>
        <v>2</v>
      </c>
      <c r="AF49" s="232">
        <f>'FY26'!AV49</f>
        <v>1</v>
      </c>
      <c r="AG49" s="232">
        <f>'FY27'!AV49</f>
        <v>1</v>
      </c>
      <c r="AH49" s="232">
        <f>'FY28'!AV49</f>
        <v>1</v>
      </c>
      <c r="AI49" s="232">
        <f>'FY29'!AV49</f>
        <v>1</v>
      </c>
      <c r="AJ49" s="232">
        <f>'FY30'!AV49</f>
        <v>1</v>
      </c>
      <c r="AL49" s="232">
        <f>'FY26'!BD49</f>
        <v>0</v>
      </c>
      <c r="AM49" s="232">
        <f>'FY27'!BD49</f>
        <v>0</v>
      </c>
      <c r="AN49" s="232">
        <f>'FY28'!BD49</f>
        <v>0</v>
      </c>
      <c r="AO49" s="232">
        <f>'FY29'!BD49</f>
        <v>0</v>
      </c>
      <c r="AP49" s="232">
        <f>'FY30'!BD49</f>
        <v>0</v>
      </c>
      <c r="AR49" s="232">
        <f>'FY26'!BL49</f>
        <v>1</v>
      </c>
      <c r="AS49" s="232">
        <f>'FY27'!BL49</f>
        <v>1</v>
      </c>
      <c r="AT49" s="232">
        <f>'FY28'!BL49</f>
        <v>1</v>
      </c>
      <c r="AU49" s="232">
        <f>'FY29'!BL49</f>
        <v>1</v>
      </c>
      <c r="AV49" s="232">
        <f>'FY30'!BL49</f>
        <v>1</v>
      </c>
      <c r="AX49" s="232">
        <f>'FY26'!BT49</f>
        <v>13</v>
      </c>
      <c r="AY49" s="232">
        <f>'FY27'!BT49</f>
        <v>13</v>
      </c>
      <c r="AZ49" s="232">
        <f>'FY28'!BT49</f>
        <v>13</v>
      </c>
      <c r="BA49" s="232">
        <f>'FY29'!BT49</f>
        <v>12</v>
      </c>
      <c r="BB49" s="232">
        <f>'FY30'!BT49</f>
        <v>10</v>
      </c>
    </row>
    <row r="50" spans="1:54" x14ac:dyDescent="0.25">
      <c r="A50" s="191" t="s">
        <v>201</v>
      </c>
      <c r="B50" s="232">
        <f>'FY26'!H50</f>
        <v>8</v>
      </c>
      <c r="C50" s="232">
        <f>'FY27'!H50</f>
        <v>8</v>
      </c>
      <c r="D50" s="232">
        <f>'FY28'!H50</f>
        <v>8</v>
      </c>
      <c r="E50" s="232">
        <f>'FY29'!H50</f>
        <v>8</v>
      </c>
      <c r="F50" s="232">
        <f>'FY30'!H50</f>
        <v>7</v>
      </c>
      <c r="H50" s="232">
        <f>'FY26'!P50</f>
        <v>22</v>
      </c>
      <c r="I50" s="232">
        <f>'FY27'!P50</f>
        <v>22</v>
      </c>
      <c r="J50" s="232">
        <f>'FY28'!P50</f>
        <v>22</v>
      </c>
      <c r="K50" s="232">
        <f>'FY29'!P50</f>
        <v>22</v>
      </c>
      <c r="L50" s="232">
        <f>'FY30'!P50</f>
        <v>20</v>
      </c>
      <c r="N50" s="232">
        <f>'FY26'!X50</f>
        <v>11</v>
      </c>
      <c r="O50" s="232">
        <f>'FY27'!X50</f>
        <v>11</v>
      </c>
      <c r="P50" s="232">
        <f>'FY28'!X50</f>
        <v>10</v>
      </c>
      <c r="Q50" s="232">
        <f>'FY29'!X50</f>
        <v>10</v>
      </c>
      <c r="R50" s="232">
        <f>'FY30'!X50</f>
        <v>9</v>
      </c>
      <c r="T50" s="232">
        <f>'FY26'!AF50</f>
        <v>10</v>
      </c>
      <c r="U50" s="232">
        <f>'FY27'!AF50</f>
        <v>10</v>
      </c>
      <c r="V50" s="232">
        <f>'FY28'!AF50</f>
        <v>10</v>
      </c>
      <c r="W50" s="232">
        <f>'FY29'!AF50</f>
        <v>10</v>
      </c>
      <c r="X50" s="232">
        <f>'FY30'!AF50</f>
        <v>9</v>
      </c>
      <c r="Z50" s="232">
        <f>'FY26'!AN50</f>
        <v>17.5</v>
      </c>
      <c r="AA50" s="232">
        <f>'FY27'!AN50</f>
        <v>17</v>
      </c>
      <c r="AB50" s="232">
        <f>'FY28'!AN50</f>
        <v>17</v>
      </c>
      <c r="AC50" s="232">
        <f>'FY29'!AN50</f>
        <v>17</v>
      </c>
      <c r="AD50" s="232">
        <f>'FY30'!AN50</f>
        <v>16.5</v>
      </c>
      <c r="AF50" s="232">
        <f>'FY26'!AV50</f>
        <v>4</v>
      </c>
      <c r="AG50" s="232">
        <f>'FY27'!AV50</f>
        <v>6</v>
      </c>
      <c r="AH50" s="232">
        <f>'FY28'!AV50</f>
        <v>6.5</v>
      </c>
      <c r="AI50" s="232">
        <f>'FY29'!AV50</f>
        <v>9</v>
      </c>
      <c r="AJ50" s="232">
        <f>'FY30'!AV50</f>
        <v>9</v>
      </c>
      <c r="AL50" s="232">
        <f>'FY26'!BD50</f>
        <v>4</v>
      </c>
      <c r="AM50" s="232">
        <f>'FY27'!BD50</f>
        <v>5</v>
      </c>
      <c r="AN50" s="232">
        <f>'FY28'!BD50</f>
        <v>5</v>
      </c>
      <c r="AO50" s="232">
        <f>'FY29'!BD50</f>
        <v>5</v>
      </c>
      <c r="AP50" s="232">
        <f>'FY30'!BD50</f>
        <v>5</v>
      </c>
      <c r="AR50" s="232">
        <f>'FY26'!BL50</f>
        <v>0</v>
      </c>
      <c r="AS50" s="232">
        <f>'FY27'!BL50</f>
        <v>0</v>
      </c>
      <c r="AT50" s="232">
        <f>'FY28'!BL50</f>
        <v>0</v>
      </c>
      <c r="AU50" s="232">
        <f>'FY29'!BL50</f>
        <v>0</v>
      </c>
      <c r="AV50" s="232">
        <f>'FY30'!BL50</f>
        <v>0</v>
      </c>
      <c r="AX50" s="232">
        <f>'FY26'!BT50</f>
        <v>76.5</v>
      </c>
      <c r="AY50" s="232">
        <f>'FY27'!BT50</f>
        <v>79</v>
      </c>
      <c r="AZ50" s="232">
        <f>'FY28'!BT50</f>
        <v>78.5</v>
      </c>
      <c r="BA50" s="232">
        <f>'FY29'!BT50</f>
        <v>81</v>
      </c>
      <c r="BB50" s="232">
        <f>'FY30'!BT50</f>
        <v>75.5</v>
      </c>
    </row>
    <row r="51" spans="1:54" x14ac:dyDescent="0.25">
      <c r="A51" s="191" t="s">
        <v>202</v>
      </c>
      <c r="B51" s="232">
        <f>'FY26'!H51</f>
        <v>2</v>
      </c>
      <c r="C51" s="232">
        <f>'FY27'!H51</f>
        <v>2</v>
      </c>
      <c r="D51" s="232">
        <f>'FY28'!H51</f>
        <v>2</v>
      </c>
      <c r="E51" s="232">
        <f>'FY29'!H51</f>
        <v>2</v>
      </c>
      <c r="F51" s="232">
        <f>'FY30'!H51</f>
        <v>2</v>
      </c>
      <c r="H51" s="232">
        <f>'FY26'!P51</f>
        <v>8</v>
      </c>
      <c r="I51" s="232">
        <f>'FY27'!P51</f>
        <v>8</v>
      </c>
      <c r="J51" s="232">
        <f>'FY28'!P51</f>
        <v>8</v>
      </c>
      <c r="K51" s="232">
        <f>'FY29'!P51</f>
        <v>8</v>
      </c>
      <c r="L51" s="232">
        <f>'FY30'!P51</f>
        <v>8</v>
      </c>
      <c r="N51" s="232">
        <f>'FY26'!X51</f>
        <v>3</v>
      </c>
      <c r="O51" s="232">
        <f>'FY27'!X51</f>
        <v>3</v>
      </c>
      <c r="P51" s="232">
        <f>'FY28'!X51</f>
        <v>3</v>
      </c>
      <c r="Q51" s="232">
        <f>'FY29'!X51</f>
        <v>3</v>
      </c>
      <c r="R51" s="232">
        <f>'FY30'!X51</f>
        <v>3</v>
      </c>
      <c r="T51" s="232">
        <f>'FY26'!AF51</f>
        <v>3</v>
      </c>
      <c r="U51" s="232">
        <f>'FY27'!AF51</f>
        <v>3</v>
      </c>
      <c r="V51" s="232">
        <f>'FY28'!AF51</f>
        <v>3</v>
      </c>
      <c r="W51" s="232">
        <f>'FY29'!AF51</f>
        <v>3</v>
      </c>
      <c r="X51" s="232">
        <f>'FY30'!AF51</f>
        <v>3</v>
      </c>
      <c r="Z51" s="232">
        <f>'FY26'!AN51</f>
        <v>9</v>
      </c>
      <c r="AA51" s="232">
        <f>'FY27'!AN51</f>
        <v>8</v>
      </c>
      <c r="AB51" s="232">
        <f>'FY28'!AN51</f>
        <v>8</v>
      </c>
      <c r="AC51" s="232">
        <f>'FY29'!AN51</f>
        <v>8</v>
      </c>
      <c r="AD51" s="232">
        <f>'FY30'!AN51</f>
        <v>8</v>
      </c>
      <c r="AF51" s="232">
        <f>'FY26'!AV51</f>
        <v>1.5</v>
      </c>
      <c r="AG51" s="232">
        <f>'FY27'!AV51</f>
        <v>2</v>
      </c>
      <c r="AH51" s="232">
        <f>'FY28'!AV51</f>
        <v>2</v>
      </c>
      <c r="AI51" s="232">
        <f>'FY29'!AV51</f>
        <v>2</v>
      </c>
      <c r="AJ51" s="232">
        <f>'FY30'!AV51</f>
        <v>2</v>
      </c>
      <c r="AL51" s="232">
        <f>'FY26'!BD51</f>
        <v>0</v>
      </c>
      <c r="AM51" s="232">
        <f>'FY27'!BD51</f>
        <v>0</v>
      </c>
      <c r="AN51" s="232">
        <f>'FY28'!BD51</f>
        <v>0</v>
      </c>
      <c r="AO51" s="232">
        <f>'FY29'!BD51</f>
        <v>0</v>
      </c>
      <c r="AP51" s="232">
        <f>'FY30'!BD51</f>
        <v>0</v>
      </c>
      <c r="AR51" s="232">
        <f>'FY26'!BL51</f>
        <v>0</v>
      </c>
      <c r="AS51" s="232">
        <f>'FY27'!BL51</f>
        <v>0</v>
      </c>
      <c r="AT51" s="232">
        <f>'FY28'!BL51</f>
        <v>0</v>
      </c>
      <c r="AU51" s="232">
        <f>'FY29'!BL51</f>
        <v>0</v>
      </c>
      <c r="AV51" s="232">
        <f>'FY30'!BL51</f>
        <v>0</v>
      </c>
      <c r="AX51" s="232">
        <f>'FY26'!BT51</f>
        <v>26.5</v>
      </c>
      <c r="AY51" s="232">
        <f>'FY27'!BT51</f>
        <v>26</v>
      </c>
      <c r="AZ51" s="232">
        <f>'FY28'!BT51</f>
        <v>26</v>
      </c>
      <c r="BA51" s="232">
        <f>'FY29'!BT51</f>
        <v>26</v>
      </c>
      <c r="BB51" s="232">
        <f>'FY30'!BT51</f>
        <v>26</v>
      </c>
    </row>
    <row r="52" spans="1:54" x14ac:dyDescent="0.25">
      <c r="A52" s="191" t="s">
        <v>323</v>
      </c>
      <c r="B52" s="232">
        <f>'FY26'!H52</f>
        <v>2</v>
      </c>
      <c r="C52" s="232">
        <f>'FY27'!H52</f>
        <v>2</v>
      </c>
      <c r="D52" s="232">
        <f>'FY28'!H52</f>
        <v>2</v>
      </c>
      <c r="E52" s="232">
        <f>'FY29'!H52</f>
        <v>2</v>
      </c>
      <c r="F52" s="232">
        <f>'FY30'!H52</f>
        <v>2</v>
      </c>
      <c r="H52" s="232">
        <f>'FY26'!P52</f>
        <v>6</v>
      </c>
      <c r="I52" s="232">
        <f>'FY27'!P52</f>
        <v>6</v>
      </c>
      <c r="J52" s="232">
        <f>'FY28'!P52</f>
        <v>6</v>
      </c>
      <c r="K52" s="232">
        <f>'FY29'!P52</f>
        <v>6</v>
      </c>
      <c r="L52" s="232">
        <f>'FY30'!P52</f>
        <v>6</v>
      </c>
      <c r="N52" s="232">
        <f>'FY26'!X52</f>
        <v>2</v>
      </c>
      <c r="O52" s="232">
        <f>'FY27'!X52</f>
        <v>2</v>
      </c>
      <c r="P52" s="232">
        <f>'FY28'!X52</f>
        <v>2</v>
      </c>
      <c r="Q52" s="232">
        <f>'FY29'!X52</f>
        <v>2</v>
      </c>
      <c r="R52" s="232">
        <f>'FY30'!X52</f>
        <v>2</v>
      </c>
      <c r="T52" s="232">
        <f>'FY26'!AF52</f>
        <v>2</v>
      </c>
      <c r="U52" s="232">
        <f>'FY27'!AF52</f>
        <v>2</v>
      </c>
      <c r="V52" s="232">
        <f>'FY28'!AF52</f>
        <v>2</v>
      </c>
      <c r="W52" s="232">
        <f>'FY29'!AF52</f>
        <v>2</v>
      </c>
      <c r="X52" s="232">
        <f>'FY30'!AF52</f>
        <v>2</v>
      </c>
      <c r="Z52" s="232">
        <f>'FY26'!AN52</f>
        <v>4</v>
      </c>
      <c r="AA52" s="232">
        <f>'FY27'!AN52</f>
        <v>4</v>
      </c>
      <c r="AB52" s="232">
        <f>'FY28'!AN52</f>
        <v>4</v>
      </c>
      <c r="AC52" s="232">
        <f>'FY29'!AN52</f>
        <v>4</v>
      </c>
      <c r="AD52" s="232">
        <f>'FY30'!AN52</f>
        <v>4</v>
      </c>
      <c r="AF52" s="232">
        <f>'FY26'!AV52</f>
        <v>1</v>
      </c>
      <c r="AG52" s="232">
        <f>'FY27'!AV52</f>
        <v>1</v>
      </c>
      <c r="AH52" s="232">
        <f>'FY28'!AV52</f>
        <v>1</v>
      </c>
      <c r="AI52" s="232">
        <f>'FY29'!AV52</f>
        <v>1</v>
      </c>
      <c r="AJ52" s="232">
        <f>'FY30'!AV52</f>
        <v>1</v>
      </c>
      <c r="AL52" s="232">
        <f>'FY26'!BD52</f>
        <v>0</v>
      </c>
      <c r="AM52" s="232">
        <f>'FY27'!BD52</f>
        <v>0</v>
      </c>
      <c r="AN52" s="232">
        <f>'FY28'!BD52</f>
        <v>0</v>
      </c>
      <c r="AO52" s="232">
        <f>'FY29'!BD52</f>
        <v>0</v>
      </c>
      <c r="AP52" s="232">
        <f>'FY30'!BD52</f>
        <v>0</v>
      </c>
      <c r="AR52" s="232">
        <f>'FY26'!BL52</f>
        <v>1</v>
      </c>
      <c r="AS52" s="232">
        <f>'FY27'!BL52</f>
        <v>1</v>
      </c>
      <c r="AT52" s="232">
        <f>'FY28'!BL52</f>
        <v>1</v>
      </c>
      <c r="AU52" s="232">
        <f>'FY29'!BL52</f>
        <v>1</v>
      </c>
      <c r="AV52" s="232">
        <f>'FY30'!BL52</f>
        <v>1</v>
      </c>
      <c r="AX52" s="232">
        <f>'FY26'!BT52</f>
        <v>18</v>
      </c>
      <c r="AY52" s="232">
        <f>'FY27'!BT52</f>
        <v>18</v>
      </c>
      <c r="AZ52" s="232">
        <f>'FY28'!BT52</f>
        <v>18</v>
      </c>
      <c r="BA52" s="232">
        <f>'FY29'!BT52</f>
        <v>18</v>
      </c>
      <c r="BB52" s="232">
        <f>'FY30'!BT52</f>
        <v>18</v>
      </c>
    </row>
    <row r="53" spans="1:54" x14ac:dyDescent="0.25">
      <c r="A53" s="191" t="s">
        <v>203</v>
      </c>
      <c r="B53" s="232">
        <f>'FY26'!H53</f>
        <v>0</v>
      </c>
      <c r="C53" s="232">
        <f>'FY27'!H53</f>
        <v>0</v>
      </c>
      <c r="D53" s="232">
        <f>'FY28'!H53</f>
        <v>0</v>
      </c>
      <c r="E53" s="232">
        <f>'FY29'!H53</f>
        <v>0</v>
      </c>
      <c r="F53" s="232">
        <f>'FY30'!H53</f>
        <v>0</v>
      </c>
      <c r="H53" s="232">
        <f>'FY26'!P53</f>
        <v>1</v>
      </c>
      <c r="I53" s="232">
        <f>'FY27'!P53</f>
        <v>1</v>
      </c>
      <c r="J53" s="232">
        <f>'FY28'!P53</f>
        <v>1</v>
      </c>
      <c r="K53" s="232">
        <f>'FY29'!P53</f>
        <v>1</v>
      </c>
      <c r="L53" s="232">
        <f>'FY30'!P53</f>
        <v>1</v>
      </c>
      <c r="N53" s="232">
        <f>'FY26'!X53</f>
        <v>1</v>
      </c>
      <c r="O53" s="232">
        <f>'FY27'!X53</f>
        <v>1</v>
      </c>
      <c r="P53" s="232">
        <f>'FY28'!X53</f>
        <v>1</v>
      </c>
      <c r="Q53" s="232">
        <f>'FY29'!X53</f>
        <v>1</v>
      </c>
      <c r="R53" s="232">
        <f>'FY30'!X53</f>
        <v>1</v>
      </c>
      <c r="T53" s="232">
        <f>'FY26'!AF53</f>
        <v>0</v>
      </c>
      <c r="U53" s="232">
        <f>'FY27'!AF53</f>
        <v>0</v>
      </c>
      <c r="V53" s="232">
        <f>'FY28'!AF53</f>
        <v>0</v>
      </c>
      <c r="W53" s="232">
        <f>'FY29'!AF53</f>
        <v>0</v>
      </c>
      <c r="X53" s="232">
        <f>'FY30'!AF53</f>
        <v>0</v>
      </c>
      <c r="Z53" s="232">
        <f>'FY26'!AN53</f>
        <v>0</v>
      </c>
      <c r="AA53" s="232">
        <f>'FY27'!AN53</f>
        <v>0</v>
      </c>
      <c r="AB53" s="232">
        <f>'FY28'!AN53</f>
        <v>0</v>
      </c>
      <c r="AC53" s="232">
        <f>'FY29'!AN53</f>
        <v>0</v>
      </c>
      <c r="AD53" s="232">
        <f>'FY30'!AN53</f>
        <v>0</v>
      </c>
      <c r="AF53" s="232">
        <f>'FY26'!AV53</f>
        <v>0</v>
      </c>
      <c r="AG53" s="232">
        <f>'FY27'!AV53</f>
        <v>0</v>
      </c>
      <c r="AH53" s="232">
        <f>'FY28'!AV53</f>
        <v>0</v>
      </c>
      <c r="AI53" s="232">
        <f>'FY29'!AV53</f>
        <v>0</v>
      </c>
      <c r="AJ53" s="232">
        <f>'FY30'!AV53</f>
        <v>0</v>
      </c>
      <c r="AL53" s="232">
        <f>'FY26'!BD53</f>
        <v>0</v>
      </c>
      <c r="AM53" s="232">
        <f>'FY27'!BD53</f>
        <v>0</v>
      </c>
      <c r="AN53" s="232">
        <f>'FY28'!BD53</f>
        <v>0</v>
      </c>
      <c r="AO53" s="232">
        <f>'FY29'!BD53</f>
        <v>0</v>
      </c>
      <c r="AP53" s="232">
        <f>'FY30'!BD53</f>
        <v>0</v>
      </c>
      <c r="AR53" s="232">
        <f>'FY26'!BL53</f>
        <v>0</v>
      </c>
      <c r="AS53" s="232">
        <f>'FY27'!BL53</f>
        <v>0</v>
      </c>
      <c r="AT53" s="232">
        <f>'FY28'!BL53</f>
        <v>0</v>
      </c>
      <c r="AU53" s="232">
        <f>'FY29'!BL53</f>
        <v>0</v>
      </c>
      <c r="AV53" s="232">
        <f>'FY30'!BL53</f>
        <v>0</v>
      </c>
      <c r="AX53" s="232">
        <f>'FY26'!BT53</f>
        <v>2</v>
      </c>
      <c r="AY53" s="232">
        <f>'FY27'!BT53</f>
        <v>2</v>
      </c>
      <c r="AZ53" s="232">
        <f>'FY28'!BT53</f>
        <v>2</v>
      </c>
      <c r="BA53" s="232">
        <f>'FY29'!BT53</f>
        <v>2</v>
      </c>
      <c r="BB53" s="232">
        <f>'FY30'!BT53</f>
        <v>2</v>
      </c>
    </row>
    <row r="54" spans="1:54" x14ac:dyDescent="0.25">
      <c r="A54" s="194" t="s">
        <v>204</v>
      </c>
      <c r="B54" s="232">
        <f>'FY26'!H54</f>
        <v>1</v>
      </c>
      <c r="C54" s="232">
        <f>'FY27'!H54</f>
        <v>1</v>
      </c>
      <c r="D54" s="232">
        <f>'FY28'!H54</f>
        <v>1</v>
      </c>
      <c r="E54" s="232">
        <f>'FY29'!H54</f>
        <v>1</v>
      </c>
      <c r="F54" s="232">
        <f>'FY30'!H54</f>
        <v>1</v>
      </c>
      <c r="H54" s="232">
        <f>'FY26'!P54</f>
        <v>1</v>
      </c>
      <c r="I54" s="232">
        <f>'FY27'!P54</f>
        <v>1</v>
      </c>
      <c r="J54" s="232">
        <f>'FY28'!P54</f>
        <v>1</v>
      </c>
      <c r="K54" s="232">
        <f>'FY29'!P54</f>
        <v>1</v>
      </c>
      <c r="L54" s="232">
        <f>'FY30'!P54</f>
        <v>1</v>
      </c>
      <c r="N54" s="232">
        <f>'FY26'!X54</f>
        <v>1</v>
      </c>
      <c r="O54" s="232">
        <f>'FY27'!X54</f>
        <v>1</v>
      </c>
      <c r="P54" s="232">
        <f>'FY28'!X54</f>
        <v>1</v>
      </c>
      <c r="Q54" s="232">
        <f>'FY29'!X54</f>
        <v>1</v>
      </c>
      <c r="R54" s="232">
        <f>'FY30'!X54</f>
        <v>1</v>
      </c>
      <c r="T54" s="232">
        <f>'FY26'!AF54</f>
        <v>1</v>
      </c>
      <c r="U54" s="232">
        <f>'FY27'!AF54</f>
        <v>1</v>
      </c>
      <c r="V54" s="232">
        <f>'FY28'!AF54</f>
        <v>1</v>
      </c>
      <c r="W54" s="232">
        <f>'FY29'!AF54</f>
        <v>1</v>
      </c>
      <c r="X54" s="232">
        <f>'FY30'!AF54</f>
        <v>1</v>
      </c>
      <c r="Z54" s="232">
        <f>'FY26'!AN54</f>
        <v>0</v>
      </c>
      <c r="AA54" s="232">
        <f>'FY27'!AN54</f>
        <v>0</v>
      </c>
      <c r="AB54" s="232">
        <f>'FY28'!AN54</f>
        <v>0</v>
      </c>
      <c r="AC54" s="232">
        <f>'FY29'!AN54</f>
        <v>0</v>
      </c>
      <c r="AD54" s="232">
        <f>'FY30'!AN54</f>
        <v>0</v>
      </c>
      <c r="AF54" s="232">
        <f>'FY26'!AV54</f>
        <v>1</v>
      </c>
      <c r="AG54" s="232">
        <f>'FY27'!AV54</f>
        <v>1</v>
      </c>
      <c r="AH54" s="232">
        <f>'FY28'!AV54</f>
        <v>1</v>
      </c>
      <c r="AI54" s="232">
        <f>'FY29'!AV54</f>
        <v>1</v>
      </c>
      <c r="AJ54" s="232">
        <f>'FY30'!AV54</f>
        <v>1</v>
      </c>
      <c r="AL54" s="232">
        <f>'FY26'!BD54</f>
        <v>0</v>
      </c>
      <c r="AM54" s="232">
        <f>'FY27'!BD54</f>
        <v>0</v>
      </c>
      <c r="AN54" s="232">
        <f>'FY28'!BD54</f>
        <v>0</v>
      </c>
      <c r="AO54" s="232">
        <f>'FY29'!BD54</f>
        <v>0</v>
      </c>
      <c r="AP54" s="232">
        <f>'FY30'!BD54</f>
        <v>0</v>
      </c>
      <c r="AR54" s="232">
        <f>'FY26'!BL54</f>
        <v>0</v>
      </c>
      <c r="AS54" s="232">
        <f>'FY27'!BL54</f>
        <v>0</v>
      </c>
      <c r="AT54" s="232">
        <f>'FY28'!BL54</f>
        <v>0</v>
      </c>
      <c r="AU54" s="232">
        <f>'FY29'!BL54</f>
        <v>0</v>
      </c>
      <c r="AV54" s="232">
        <f>'FY30'!BL54</f>
        <v>0</v>
      </c>
      <c r="AX54" s="232">
        <f>'FY26'!BT54</f>
        <v>5</v>
      </c>
      <c r="AY54" s="232">
        <f>'FY27'!BT54</f>
        <v>5</v>
      </c>
      <c r="AZ54" s="232">
        <f>'FY28'!BT54</f>
        <v>5</v>
      </c>
      <c r="BA54" s="232">
        <f>'FY29'!BT54</f>
        <v>5</v>
      </c>
      <c r="BB54" s="232">
        <f>'FY30'!BT54</f>
        <v>5</v>
      </c>
    </row>
    <row r="55" spans="1:54" x14ac:dyDescent="0.25">
      <c r="A55" s="194" t="s">
        <v>205</v>
      </c>
      <c r="B55" s="232">
        <f>'FY26'!H55</f>
        <v>0</v>
      </c>
      <c r="C55" s="232">
        <f>'FY27'!H55</f>
        <v>0</v>
      </c>
      <c r="D55" s="232">
        <f>'FY28'!H55</f>
        <v>0</v>
      </c>
      <c r="E55" s="232">
        <f>'FY29'!H55</f>
        <v>0</v>
      </c>
      <c r="F55" s="232">
        <f>'FY30'!H55</f>
        <v>0</v>
      </c>
      <c r="H55" s="232">
        <f>'FY26'!P55</f>
        <v>1</v>
      </c>
      <c r="I55" s="232">
        <f>'FY27'!P55</f>
        <v>1</v>
      </c>
      <c r="J55" s="232">
        <f>'FY28'!P55</f>
        <v>1</v>
      </c>
      <c r="K55" s="232">
        <f>'FY29'!P55</f>
        <v>1</v>
      </c>
      <c r="L55" s="232">
        <f>'FY30'!P55</f>
        <v>1</v>
      </c>
      <c r="N55" s="232">
        <f>'FY26'!X55</f>
        <v>0</v>
      </c>
      <c r="O55" s="232">
        <f>'FY27'!X55</f>
        <v>0</v>
      </c>
      <c r="P55" s="232">
        <f>'FY28'!X55</f>
        <v>0</v>
      </c>
      <c r="Q55" s="232">
        <f>'FY29'!X55</f>
        <v>0</v>
      </c>
      <c r="R55" s="232">
        <f>'FY30'!X55</f>
        <v>0</v>
      </c>
      <c r="T55" s="232">
        <f>'FY26'!AF55</f>
        <v>1</v>
      </c>
      <c r="U55" s="232">
        <f>'FY27'!AF55</f>
        <v>1</v>
      </c>
      <c r="V55" s="232">
        <f>'FY28'!AF55</f>
        <v>1</v>
      </c>
      <c r="W55" s="232">
        <f>'FY29'!AF55</f>
        <v>1</v>
      </c>
      <c r="X55" s="232">
        <f>'FY30'!AF55</f>
        <v>1</v>
      </c>
      <c r="Z55" s="232">
        <f>'FY26'!AN55</f>
        <v>0</v>
      </c>
      <c r="AA55" s="232">
        <f>'FY27'!AN55</f>
        <v>0</v>
      </c>
      <c r="AB55" s="232">
        <f>'FY28'!AN55</f>
        <v>0</v>
      </c>
      <c r="AC55" s="232">
        <f>'FY29'!AN55</f>
        <v>0</v>
      </c>
      <c r="AD55" s="232">
        <f>'FY30'!AN55</f>
        <v>0</v>
      </c>
      <c r="AF55" s="232">
        <f>'FY26'!AV55</f>
        <v>0</v>
      </c>
      <c r="AG55" s="232">
        <f>'FY27'!AV55</f>
        <v>0</v>
      </c>
      <c r="AH55" s="232">
        <f>'FY28'!AV55</f>
        <v>0</v>
      </c>
      <c r="AI55" s="232">
        <f>'FY29'!AV55</f>
        <v>0</v>
      </c>
      <c r="AJ55" s="232">
        <f>'FY30'!AV55</f>
        <v>0</v>
      </c>
      <c r="AL55" s="232">
        <f>'FY26'!BD55</f>
        <v>0</v>
      </c>
      <c r="AM55" s="232">
        <f>'FY27'!BD55</f>
        <v>0</v>
      </c>
      <c r="AN55" s="232">
        <f>'FY28'!BD55</f>
        <v>0</v>
      </c>
      <c r="AO55" s="232">
        <f>'FY29'!BD55</f>
        <v>0</v>
      </c>
      <c r="AP55" s="232">
        <f>'FY30'!BD55</f>
        <v>0</v>
      </c>
      <c r="AR55" s="232">
        <f>'FY26'!BL55</f>
        <v>0</v>
      </c>
      <c r="AS55" s="232">
        <f>'FY27'!BL55</f>
        <v>0</v>
      </c>
      <c r="AT55" s="232">
        <f>'FY28'!BL55</f>
        <v>0</v>
      </c>
      <c r="AU55" s="232">
        <f>'FY29'!BL55</f>
        <v>0</v>
      </c>
      <c r="AV55" s="232">
        <f>'FY30'!BL55</f>
        <v>0</v>
      </c>
      <c r="AX55" s="232">
        <f>'FY26'!BT55</f>
        <v>2</v>
      </c>
      <c r="AY55" s="232">
        <f>'FY27'!BT55</f>
        <v>2</v>
      </c>
      <c r="AZ55" s="232">
        <f>'FY28'!BT55</f>
        <v>2</v>
      </c>
      <c r="BA55" s="232">
        <f>'FY29'!BT55</f>
        <v>2</v>
      </c>
      <c r="BB55" s="232">
        <f>'FY30'!BT55</f>
        <v>2</v>
      </c>
    </row>
    <row r="56" spans="1:54" x14ac:dyDescent="0.25">
      <c r="A56" s="194" t="s">
        <v>206</v>
      </c>
      <c r="B56" s="232">
        <f>'FY26'!H56</f>
        <v>0</v>
      </c>
      <c r="C56" s="232">
        <f>'FY27'!H56</f>
        <v>0</v>
      </c>
      <c r="D56" s="232">
        <f>'FY28'!H56</f>
        <v>0</v>
      </c>
      <c r="E56" s="232">
        <f>'FY29'!H56</f>
        <v>0</v>
      </c>
      <c r="F56" s="232">
        <f>'FY30'!H56</f>
        <v>0</v>
      </c>
      <c r="H56" s="232">
        <f>'FY26'!P56</f>
        <v>1</v>
      </c>
      <c r="I56" s="232">
        <f>'FY27'!P56</f>
        <v>1</v>
      </c>
      <c r="J56" s="232">
        <f>'FY28'!P56</f>
        <v>1</v>
      </c>
      <c r="K56" s="232">
        <f>'FY29'!P56</f>
        <v>1</v>
      </c>
      <c r="L56" s="232">
        <f>'FY30'!P56</f>
        <v>1</v>
      </c>
      <c r="N56" s="232">
        <f>'FY26'!X56</f>
        <v>0.5</v>
      </c>
      <c r="O56" s="232">
        <f>'FY27'!X56</f>
        <v>0.5</v>
      </c>
      <c r="P56" s="232">
        <f>'FY28'!X56</f>
        <v>0.5</v>
      </c>
      <c r="Q56" s="232">
        <f>'FY29'!X56</f>
        <v>0.5</v>
      </c>
      <c r="R56" s="232">
        <f>'FY30'!X56</f>
        <v>0.5</v>
      </c>
      <c r="T56" s="232">
        <f>'FY26'!AF56</f>
        <v>0.5</v>
      </c>
      <c r="U56" s="232">
        <f>'FY27'!AF56</f>
        <v>0.5</v>
      </c>
      <c r="V56" s="232">
        <f>'FY28'!AF56</f>
        <v>0.5</v>
      </c>
      <c r="W56" s="232">
        <f>'FY29'!AF56</f>
        <v>0.5</v>
      </c>
      <c r="X56" s="232">
        <f>'FY30'!AF56</f>
        <v>0.5</v>
      </c>
      <c r="Z56" s="232">
        <f>'FY26'!AN56</f>
        <v>1</v>
      </c>
      <c r="AA56" s="232">
        <f>'FY27'!AN56</f>
        <v>1</v>
      </c>
      <c r="AB56" s="232">
        <f>'FY28'!AN56</f>
        <v>1</v>
      </c>
      <c r="AC56" s="232">
        <f>'FY29'!AN56</f>
        <v>1</v>
      </c>
      <c r="AD56" s="232">
        <f>'FY30'!AN56</f>
        <v>1</v>
      </c>
      <c r="AF56" s="232">
        <f>'FY26'!AV56</f>
        <v>0</v>
      </c>
      <c r="AG56" s="232">
        <f>'FY27'!AV56</f>
        <v>0</v>
      </c>
      <c r="AH56" s="232">
        <f>'FY28'!AV56</f>
        <v>0</v>
      </c>
      <c r="AI56" s="232">
        <f>'FY29'!AV56</f>
        <v>0</v>
      </c>
      <c r="AJ56" s="232">
        <f>'FY30'!AV56</f>
        <v>0</v>
      </c>
      <c r="AL56" s="232">
        <f>'FY26'!BD56</f>
        <v>0</v>
      </c>
      <c r="AM56" s="232">
        <f>'FY27'!BD56</f>
        <v>0</v>
      </c>
      <c r="AN56" s="232">
        <f>'FY28'!BD56</f>
        <v>0</v>
      </c>
      <c r="AO56" s="232">
        <f>'FY29'!BD56</f>
        <v>0</v>
      </c>
      <c r="AP56" s="232">
        <f>'FY30'!BD56</f>
        <v>0</v>
      </c>
      <c r="AR56" s="232">
        <f>'FY26'!BL56</f>
        <v>0</v>
      </c>
      <c r="AS56" s="232">
        <f>'FY27'!BL56</f>
        <v>0</v>
      </c>
      <c r="AT56" s="232">
        <f>'FY28'!BL56</f>
        <v>0</v>
      </c>
      <c r="AU56" s="232">
        <f>'FY29'!BL56</f>
        <v>0</v>
      </c>
      <c r="AV56" s="232">
        <f>'FY30'!BL56</f>
        <v>0</v>
      </c>
      <c r="AX56" s="232">
        <f>'FY26'!BT56</f>
        <v>3</v>
      </c>
      <c r="AY56" s="232">
        <f>'FY27'!BT56</f>
        <v>3</v>
      </c>
      <c r="AZ56" s="232">
        <f>'FY28'!BT56</f>
        <v>3</v>
      </c>
      <c r="BA56" s="232">
        <f>'FY29'!BT56</f>
        <v>3</v>
      </c>
      <c r="BB56" s="232">
        <f>'FY30'!BT56</f>
        <v>3</v>
      </c>
    </row>
    <row r="57" spans="1:54" x14ac:dyDescent="0.25">
      <c r="A57" s="194" t="s">
        <v>207</v>
      </c>
      <c r="B57" s="232">
        <f>'FY26'!H57</f>
        <v>0</v>
      </c>
      <c r="C57" s="232">
        <f>'FY27'!H57</f>
        <v>0</v>
      </c>
      <c r="D57" s="232">
        <f>'FY28'!H57</f>
        <v>0</v>
      </c>
      <c r="E57" s="232">
        <f>'FY29'!H57</f>
        <v>0</v>
      </c>
      <c r="F57" s="232">
        <f>'FY30'!H57</f>
        <v>0</v>
      </c>
      <c r="H57" s="232">
        <f>'FY26'!P57</f>
        <v>0</v>
      </c>
      <c r="I57" s="232">
        <f>'FY27'!P57</f>
        <v>0</v>
      </c>
      <c r="J57" s="232">
        <f>'FY28'!P57</f>
        <v>0</v>
      </c>
      <c r="K57" s="232">
        <f>'FY29'!P57</f>
        <v>0</v>
      </c>
      <c r="L57" s="232">
        <f>'FY30'!P57</f>
        <v>0</v>
      </c>
      <c r="N57" s="232">
        <f>'FY26'!X57</f>
        <v>0</v>
      </c>
      <c r="O57" s="232">
        <f>'FY27'!X57</f>
        <v>0</v>
      </c>
      <c r="P57" s="232">
        <f>'FY28'!X57</f>
        <v>0</v>
      </c>
      <c r="Q57" s="232">
        <f>'FY29'!X57</f>
        <v>0</v>
      </c>
      <c r="R57" s="232">
        <f>'FY30'!X57</f>
        <v>0</v>
      </c>
      <c r="T57" s="232">
        <f>'FY26'!AF57</f>
        <v>0.33</v>
      </c>
      <c r="U57" s="232">
        <f>'FY27'!AF57</f>
        <v>0.33</v>
      </c>
      <c r="V57" s="232">
        <f>'FY28'!AF57</f>
        <v>0.33</v>
      </c>
      <c r="W57" s="232">
        <f>'FY29'!AF57</f>
        <v>0.33</v>
      </c>
      <c r="X57" s="232">
        <f>'FY30'!AF57</f>
        <v>0.33</v>
      </c>
      <c r="Z57" s="232">
        <f>'FY26'!AN57</f>
        <v>0.5</v>
      </c>
      <c r="AA57" s="232">
        <f>'FY27'!AN57</f>
        <v>0.5</v>
      </c>
      <c r="AB57" s="232">
        <f>'FY28'!AN57</f>
        <v>0.5</v>
      </c>
      <c r="AC57" s="232">
        <f>'FY29'!AN57</f>
        <v>0.5</v>
      </c>
      <c r="AD57" s="232">
        <f>'FY30'!AN57</f>
        <v>0.5</v>
      </c>
      <c r="AF57" s="232">
        <f>'FY26'!AV57</f>
        <v>0</v>
      </c>
      <c r="AG57" s="232">
        <f>'FY27'!AV57</f>
        <v>0</v>
      </c>
      <c r="AH57" s="232">
        <f>'FY28'!AV57</f>
        <v>0</v>
      </c>
      <c r="AI57" s="232">
        <f>'FY29'!AV57</f>
        <v>0</v>
      </c>
      <c r="AJ57" s="232">
        <f>'FY30'!AV57</f>
        <v>0</v>
      </c>
      <c r="AL57" s="232">
        <f>'FY26'!BD57</f>
        <v>0</v>
      </c>
      <c r="AM57" s="232">
        <f>'FY27'!BD57</f>
        <v>0</v>
      </c>
      <c r="AN57" s="232">
        <f>'FY28'!BD57</f>
        <v>0</v>
      </c>
      <c r="AO57" s="232">
        <f>'FY29'!BD57</f>
        <v>0</v>
      </c>
      <c r="AP57" s="232">
        <f>'FY30'!BD57</f>
        <v>0</v>
      </c>
      <c r="AR57" s="232">
        <f>'FY26'!BL57</f>
        <v>0</v>
      </c>
      <c r="AS57" s="232">
        <f>'FY27'!BL57</f>
        <v>0</v>
      </c>
      <c r="AT57" s="232">
        <f>'FY28'!BL57</f>
        <v>0</v>
      </c>
      <c r="AU57" s="232">
        <f>'FY29'!BL57</f>
        <v>0</v>
      </c>
      <c r="AV57" s="232">
        <f>'FY30'!BL57</f>
        <v>0</v>
      </c>
      <c r="AX57" s="232">
        <f>'FY26'!BT57</f>
        <v>0.83000000000000007</v>
      </c>
      <c r="AY57" s="232">
        <f>'FY27'!BT57</f>
        <v>0.83000000000000007</v>
      </c>
      <c r="AZ57" s="232">
        <f>'FY28'!BT57</f>
        <v>0.83000000000000007</v>
      </c>
      <c r="BA57" s="232">
        <f>'FY29'!BT57</f>
        <v>0.83000000000000007</v>
      </c>
      <c r="BB57" s="232">
        <f>'FY30'!BT57</f>
        <v>0.83000000000000007</v>
      </c>
    </row>
    <row r="58" spans="1:54" x14ac:dyDescent="0.25">
      <c r="A58" s="194" t="s">
        <v>208</v>
      </c>
      <c r="B58" s="232">
        <f>'FY26'!H58</f>
        <v>0</v>
      </c>
      <c r="C58" s="232">
        <f>'FY27'!H58</f>
        <v>0</v>
      </c>
      <c r="D58" s="232">
        <f>'FY28'!H58</f>
        <v>0</v>
      </c>
      <c r="E58" s="232">
        <f>'FY29'!H58</f>
        <v>0</v>
      </c>
      <c r="F58" s="232">
        <f>'FY30'!H58</f>
        <v>0</v>
      </c>
      <c r="H58" s="232">
        <f>'FY26'!P58</f>
        <v>1</v>
      </c>
      <c r="I58" s="232">
        <f>'FY27'!P58</f>
        <v>1</v>
      </c>
      <c r="J58" s="232">
        <f>'FY28'!P58</f>
        <v>1</v>
      </c>
      <c r="K58" s="232">
        <f>'FY29'!P58</f>
        <v>1</v>
      </c>
      <c r="L58" s="232">
        <f>'FY30'!P58</f>
        <v>1</v>
      </c>
      <c r="N58" s="232">
        <f>'FY26'!X58</f>
        <v>0.5</v>
      </c>
      <c r="O58" s="232">
        <f>'FY27'!X58</f>
        <v>0.5</v>
      </c>
      <c r="P58" s="232">
        <f>'FY28'!X58</f>
        <v>0.5</v>
      </c>
      <c r="Q58" s="232">
        <f>'FY29'!X58</f>
        <v>0.5</v>
      </c>
      <c r="R58" s="232">
        <f>'FY30'!X58</f>
        <v>0.5</v>
      </c>
      <c r="T58" s="232">
        <f>'FY26'!AF58</f>
        <v>0.5</v>
      </c>
      <c r="U58" s="232">
        <f>'FY27'!AF58</f>
        <v>0.5</v>
      </c>
      <c r="V58" s="232">
        <f>'FY28'!AF58</f>
        <v>0.5</v>
      </c>
      <c r="W58" s="232">
        <f>'FY29'!AF58</f>
        <v>0.5</v>
      </c>
      <c r="X58" s="232">
        <f>'FY30'!AF58</f>
        <v>0.5</v>
      </c>
      <c r="Z58" s="232">
        <f>'FY26'!AN58</f>
        <v>1</v>
      </c>
      <c r="AA58" s="232">
        <f>'FY27'!AN58</f>
        <v>1</v>
      </c>
      <c r="AB58" s="232">
        <f>'FY28'!AN58</f>
        <v>1</v>
      </c>
      <c r="AC58" s="232">
        <f>'FY29'!AN58</f>
        <v>1</v>
      </c>
      <c r="AD58" s="232">
        <f>'FY30'!AN58</f>
        <v>1</v>
      </c>
      <c r="AF58" s="232">
        <f>'FY26'!AV58</f>
        <v>0</v>
      </c>
      <c r="AG58" s="232">
        <f>'FY27'!AV58</f>
        <v>0</v>
      </c>
      <c r="AH58" s="232">
        <f>'FY28'!AV58</f>
        <v>0</v>
      </c>
      <c r="AI58" s="232">
        <f>'FY29'!AV58</f>
        <v>0</v>
      </c>
      <c r="AJ58" s="232">
        <f>'FY30'!AV58</f>
        <v>0</v>
      </c>
      <c r="AL58" s="232">
        <f>'FY26'!BD58</f>
        <v>0</v>
      </c>
      <c r="AM58" s="232">
        <f>'FY27'!BD58</f>
        <v>0</v>
      </c>
      <c r="AN58" s="232">
        <f>'FY28'!BD58</f>
        <v>0</v>
      </c>
      <c r="AO58" s="232">
        <f>'FY29'!BD58</f>
        <v>0</v>
      </c>
      <c r="AP58" s="232">
        <f>'FY30'!BD58</f>
        <v>0</v>
      </c>
      <c r="AR58" s="232">
        <f>'FY26'!BL58</f>
        <v>0</v>
      </c>
      <c r="AS58" s="232">
        <f>'FY27'!BL58</f>
        <v>0</v>
      </c>
      <c r="AT58" s="232">
        <f>'FY28'!BL58</f>
        <v>0</v>
      </c>
      <c r="AU58" s="232">
        <f>'FY29'!BL58</f>
        <v>0</v>
      </c>
      <c r="AV58" s="232">
        <f>'FY30'!BL58</f>
        <v>0</v>
      </c>
      <c r="AX58" s="232">
        <f>'FY26'!BT58</f>
        <v>3</v>
      </c>
      <c r="AY58" s="232">
        <f>'FY27'!BT58</f>
        <v>3</v>
      </c>
      <c r="AZ58" s="232">
        <f>'FY28'!BT58</f>
        <v>3</v>
      </c>
      <c r="BA58" s="232">
        <f>'FY29'!BT58</f>
        <v>3</v>
      </c>
      <c r="BB58" s="232">
        <f>'FY30'!BT58</f>
        <v>3</v>
      </c>
    </row>
    <row r="59" spans="1:54" x14ac:dyDescent="0.25">
      <c r="A59" s="194" t="s">
        <v>209</v>
      </c>
      <c r="B59" s="232">
        <f>'FY26'!H59</f>
        <v>1</v>
      </c>
      <c r="C59" s="232">
        <f>'FY27'!H59</f>
        <v>1</v>
      </c>
      <c r="D59" s="232">
        <f>'FY28'!H59</f>
        <v>1</v>
      </c>
      <c r="E59" s="232">
        <f>'FY29'!H59</f>
        <v>1</v>
      </c>
      <c r="F59" s="232">
        <f>'FY30'!H59</f>
        <v>1</v>
      </c>
      <c r="H59" s="232">
        <f>'FY26'!P59</f>
        <v>3</v>
      </c>
      <c r="I59" s="232">
        <f>'FY27'!P59</f>
        <v>3</v>
      </c>
      <c r="J59" s="232">
        <f>'FY28'!P59</f>
        <v>3</v>
      </c>
      <c r="K59" s="232">
        <f>'FY29'!P59</f>
        <v>3</v>
      </c>
      <c r="L59" s="232">
        <f>'FY30'!P59</f>
        <v>3</v>
      </c>
      <c r="N59" s="232">
        <f>'FY26'!X59</f>
        <v>1</v>
      </c>
      <c r="O59" s="232">
        <f>'FY27'!X59</f>
        <v>1</v>
      </c>
      <c r="P59" s="232">
        <f>'FY28'!X59</f>
        <v>1</v>
      </c>
      <c r="Q59" s="232">
        <f>'FY29'!X59</f>
        <v>1</v>
      </c>
      <c r="R59" s="232">
        <f>'FY30'!X59</f>
        <v>1</v>
      </c>
      <c r="T59" s="232">
        <f>'FY26'!AF59</f>
        <v>2</v>
      </c>
      <c r="U59" s="232">
        <f>'FY27'!AF59</f>
        <v>2</v>
      </c>
      <c r="V59" s="232">
        <f>'FY28'!AF59</f>
        <v>2</v>
      </c>
      <c r="W59" s="232">
        <f>'FY29'!AF59</f>
        <v>2</v>
      </c>
      <c r="X59" s="232">
        <f>'FY30'!AF59</f>
        <v>2</v>
      </c>
      <c r="Z59" s="232">
        <f>'FY26'!AN59</f>
        <v>4</v>
      </c>
      <c r="AA59" s="232">
        <f>'FY27'!AN59</f>
        <v>4</v>
      </c>
      <c r="AB59" s="232">
        <f>'FY28'!AN59</f>
        <v>4</v>
      </c>
      <c r="AC59" s="232">
        <f>'FY29'!AN59</f>
        <v>4</v>
      </c>
      <c r="AD59" s="232">
        <f>'FY30'!AN59</f>
        <v>4</v>
      </c>
      <c r="AF59" s="232">
        <f>'FY26'!AV59</f>
        <v>0</v>
      </c>
      <c r="AG59" s="232">
        <f>'FY27'!AV59</f>
        <v>0</v>
      </c>
      <c r="AH59" s="232">
        <f>'FY28'!AV59</f>
        <v>0</v>
      </c>
      <c r="AI59" s="232">
        <f>'FY29'!AV59</f>
        <v>0</v>
      </c>
      <c r="AJ59" s="232">
        <f>'FY30'!AV59</f>
        <v>0</v>
      </c>
      <c r="AL59" s="232">
        <f>'FY26'!BD59</f>
        <v>0</v>
      </c>
      <c r="AM59" s="232">
        <f>'FY27'!BD59</f>
        <v>0</v>
      </c>
      <c r="AN59" s="232">
        <f>'FY28'!BD59</f>
        <v>0</v>
      </c>
      <c r="AO59" s="232">
        <f>'FY29'!BD59</f>
        <v>0</v>
      </c>
      <c r="AP59" s="232">
        <f>'FY30'!BD59</f>
        <v>0</v>
      </c>
      <c r="AR59" s="232">
        <f>'FY26'!BL59</f>
        <v>0</v>
      </c>
      <c r="AS59" s="232">
        <f>'FY27'!BL59</f>
        <v>0</v>
      </c>
      <c r="AT59" s="232">
        <f>'FY28'!BL59</f>
        <v>0</v>
      </c>
      <c r="AU59" s="232">
        <f>'FY29'!BL59</f>
        <v>0</v>
      </c>
      <c r="AV59" s="232">
        <f>'FY30'!BL59</f>
        <v>0</v>
      </c>
      <c r="AX59" s="232">
        <f>'FY26'!BT59</f>
        <v>11</v>
      </c>
      <c r="AY59" s="232">
        <f>'FY27'!BT59</f>
        <v>11</v>
      </c>
      <c r="AZ59" s="232">
        <f>'FY28'!BT59</f>
        <v>11</v>
      </c>
      <c r="BA59" s="232">
        <f>'FY29'!BT59</f>
        <v>11</v>
      </c>
      <c r="BB59" s="232">
        <f>'FY30'!BT59</f>
        <v>11</v>
      </c>
    </row>
    <row r="60" spans="1:54" x14ac:dyDescent="0.25">
      <c r="A60" s="191" t="s">
        <v>210</v>
      </c>
      <c r="B60" s="232">
        <f>'FY26'!H60</f>
        <v>0</v>
      </c>
      <c r="C60" s="232">
        <f>'FY27'!H60</f>
        <v>0</v>
      </c>
      <c r="D60" s="232">
        <f>'FY28'!H60</f>
        <v>0</v>
      </c>
      <c r="E60" s="232">
        <f>'FY29'!H60</f>
        <v>0</v>
      </c>
      <c r="F60" s="232">
        <f>'FY30'!H60</f>
        <v>0</v>
      </c>
      <c r="H60" s="232">
        <f>'FY26'!P60</f>
        <v>1</v>
      </c>
      <c r="I60" s="232">
        <f>'FY27'!P60</f>
        <v>1</v>
      </c>
      <c r="J60" s="232">
        <f>'FY28'!P60</f>
        <v>1</v>
      </c>
      <c r="K60" s="232">
        <f>'FY29'!P60</f>
        <v>1</v>
      </c>
      <c r="L60" s="232">
        <f>'FY30'!P60</f>
        <v>1</v>
      </c>
      <c r="N60" s="232">
        <f>'FY26'!X60</f>
        <v>0</v>
      </c>
      <c r="O60" s="232">
        <f>'FY27'!X60</f>
        <v>0</v>
      </c>
      <c r="P60" s="232">
        <f>'FY28'!X60</f>
        <v>0</v>
      </c>
      <c r="Q60" s="232">
        <f>'FY29'!X60</f>
        <v>0</v>
      </c>
      <c r="R60" s="232">
        <f>'FY30'!X60</f>
        <v>0</v>
      </c>
      <c r="T60" s="232">
        <f>'FY26'!AF60</f>
        <v>1</v>
      </c>
      <c r="U60" s="232">
        <f>'FY27'!AF60</f>
        <v>1</v>
      </c>
      <c r="V60" s="232">
        <f>'FY28'!AF60</f>
        <v>1</v>
      </c>
      <c r="W60" s="232">
        <f>'FY29'!AF60</f>
        <v>1</v>
      </c>
      <c r="X60" s="232">
        <f>'FY30'!AF60</f>
        <v>1</v>
      </c>
      <c r="Z60" s="232">
        <f>'FY26'!AN60</f>
        <v>2</v>
      </c>
      <c r="AA60" s="232">
        <f>'FY27'!AN60</f>
        <v>1</v>
      </c>
      <c r="AB60" s="232">
        <f>'FY28'!AN60</f>
        <v>1</v>
      </c>
      <c r="AC60" s="232">
        <f>'FY29'!AN60</f>
        <v>1</v>
      </c>
      <c r="AD60" s="232">
        <f>'FY30'!AN60</f>
        <v>1</v>
      </c>
      <c r="AF60" s="232">
        <f>'FY26'!AV60</f>
        <v>0</v>
      </c>
      <c r="AG60" s="232">
        <f>'FY27'!AV60</f>
        <v>0</v>
      </c>
      <c r="AH60" s="232">
        <f>'FY28'!AV60</f>
        <v>0</v>
      </c>
      <c r="AI60" s="232">
        <f>'FY29'!AV60</f>
        <v>0</v>
      </c>
      <c r="AJ60" s="232">
        <f>'FY30'!AV60</f>
        <v>0</v>
      </c>
      <c r="AL60" s="232">
        <f>'FY26'!BD60</f>
        <v>0</v>
      </c>
      <c r="AM60" s="232">
        <f>'FY27'!BD60</f>
        <v>0</v>
      </c>
      <c r="AN60" s="232">
        <f>'FY28'!BD60</f>
        <v>0</v>
      </c>
      <c r="AO60" s="232">
        <f>'FY29'!BD60</f>
        <v>0</v>
      </c>
      <c r="AP60" s="232">
        <f>'FY30'!BD60</f>
        <v>0</v>
      </c>
      <c r="AR60" s="232">
        <f>'FY26'!BL60</f>
        <v>0</v>
      </c>
      <c r="AS60" s="232">
        <f>'FY27'!BL60</f>
        <v>0</v>
      </c>
      <c r="AT60" s="232">
        <f>'FY28'!BL60</f>
        <v>0</v>
      </c>
      <c r="AU60" s="232">
        <f>'FY29'!BL60</f>
        <v>0</v>
      </c>
      <c r="AV60" s="232">
        <f>'FY30'!BL60</f>
        <v>0</v>
      </c>
      <c r="AX60" s="232">
        <f>'FY26'!BT60</f>
        <v>4</v>
      </c>
      <c r="AY60" s="232">
        <f>'FY27'!BT60</f>
        <v>3</v>
      </c>
      <c r="AZ60" s="232">
        <f>'FY28'!BT60</f>
        <v>3</v>
      </c>
      <c r="BA60" s="232">
        <f>'FY29'!BT60</f>
        <v>3</v>
      </c>
      <c r="BB60" s="232">
        <f>'FY30'!BT60</f>
        <v>3</v>
      </c>
    </row>
    <row r="61" spans="1:54" x14ac:dyDescent="0.25">
      <c r="A61" s="189" t="s">
        <v>211</v>
      </c>
      <c r="B61" s="234">
        <f>'FY26'!H61</f>
        <v>26</v>
      </c>
      <c r="C61" s="234">
        <f>'FY27'!H61</f>
        <v>26</v>
      </c>
      <c r="D61" s="234">
        <f>'FY28'!H61</f>
        <v>26</v>
      </c>
      <c r="E61" s="234">
        <f>'FY29'!H61</f>
        <v>26</v>
      </c>
      <c r="F61" s="234">
        <f>'FY30'!H61</f>
        <v>25</v>
      </c>
      <c r="H61" s="234">
        <f>'FY26'!P61</f>
        <v>77</v>
      </c>
      <c r="I61" s="234">
        <f>'FY27'!P61</f>
        <v>77</v>
      </c>
      <c r="J61" s="234">
        <f>'FY28'!P61</f>
        <v>77</v>
      </c>
      <c r="K61" s="234">
        <f>'FY29'!P61</f>
        <v>76</v>
      </c>
      <c r="L61" s="234">
        <f>'FY30'!P61</f>
        <v>73</v>
      </c>
      <c r="N61" s="234">
        <f>'FY26'!X61</f>
        <v>31</v>
      </c>
      <c r="O61" s="234">
        <f>'FY27'!X61</f>
        <v>31</v>
      </c>
      <c r="P61" s="234">
        <f>'FY28'!X61</f>
        <v>30</v>
      </c>
      <c r="Q61" s="234">
        <f>'FY29'!X61</f>
        <v>29</v>
      </c>
      <c r="R61" s="234">
        <f>'FY30'!X61</f>
        <v>28</v>
      </c>
      <c r="T61" s="234">
        <f>'FY26'!AF61</f>
        <v>31.33</v>
      </c>
      <c r="U61" s="234">
        <f>'FY27'!AF61</f>
        <v>31.33</v>
      </c>
      <c r="V61" s="234">
        <f>'FY28'!AF61</f>
        <v>31.33</v>
      </c>
      <c r="W61" s="234">
        <f>'FY29'!AF61</f>
        <v>31.33</v>
      </c>
      <c r="X61" s="234">
        <f>'FY30'!AF61</f>
        <v>30.33</v>
      </c>
      <c r="Z61" s="234">
        <f>'FY26'!AN61</f>
        <v>65</v>
      </c>
      <c r="AA61" s="234">
        <f>'FY27'!AN61</f>
        <v>61.5</v>
      </c>
      <c r="AB61" s="234">
        <f>'FY28'!AN61</f>
        <v>61.5</v>
      </c>
      <c r="AC61" s="234">
        <f>'FY29'!AN61</f>
        <v>60.5</v>
      </c>
      <c r="AD61" s="234">
        <f>'FY30'!AN61</f>
        <v>59</v>
      </c>
      <c r="AF61" s="234">
        <f>'FY26'!AV61</f>
        <v>12.5</v>
      </c>
      <c r="AG61" s="234">
        <f>'FY27'!AV61</f>
        <v>16</v>
      </c>
      <c r="AH61" s="234">
        <f>'FY28'!AV61</f>
        <v>18.5</v>
      </c>
      <c r="AI61" s="234">
        <f>'FY29'!AV61</f>
        <v>22</v>
      </c>
      <c r="AJ61" s="234">
        <f>'FY30'!AV61</f>
        <v>22</v>
      </c>
      <c r="AL61" s="234">
        <f>'FY26'!BD61</f>
        <v>5</v>
      </c>
      <c r="AM61" s="234">
        <f>'FY27'!BD61</f>
        <v>6</v>
      </c>
      <c r="AN61" s="234">
        <f>'FY28'!BD61</f>
        <v>6</v>
      </c>
      <c r="AO61" s="234">
        <f>'FY29'!BD61</f>
        <v>6</v>
      </c>
      <c r="AP61" s="234">
        <f>'FY30'!BD61</f>
        <v>6</v>
      </c>
      <c r="AR61" s="234">
        <f>'FY26'!BL61</f>
        <v>5</v>
      </c>
      <c r="AS61" s="234">
        <f>'FY27'!BL61</f>
        <v>5</v>
      </c>
      <c r="AT61" s="234">
        <f>'FY28'!BL61</f>
        <v>5</v>
      </c>
      <c r="AU61" s="234">
        <f>'FY29'!BL61</f>
        <v>5</v>
      </c>
      <c r="AV61" s="234">
        <f>'FY30'!BL61</f>
        <v>5</v>
      </c>
      <c r="AX61" s="234">
        <f>'FY26'!BT61</f>
        <v>252.83</v>
      </c>
      <c r="AY61" s="234">
        <f>'FY27'!BT61</f>
        <v>253.83</v>
      </c>
      <c r="AZ61" s="234">
        <f>'FY28'!BT61</f>
        <v>255.33</v>
      </c>
      <c r="BA61" s="234">
        <f>'FY29'!BT61</f>
        <v>255.83</v>
      </c>
      <c r="BB61" s="234">
        <f>'FY30'!BT61</f>
        <v>248.33</v>
      </c>
    </row>
    <row r="62" spans="1:54" ht="16.5" thickBot="1" x14ac:dyDescent="0.3">
      <c r="A62" s="195"/>
      <c r="B62" s="235">
        <f>'FY26'!H62</f>
        <v>0</v>
      </c>
      <c r="C62" s="235">
        <f>'FY27'!H62</f>
        <v>0</v>
      </c>
      <c r="D62" s="235">
        <f>'FY28'!H62</f>
        <v>0</v>
      </c>
      <c r="E62" s="235">
        <f>'FY29'!H62</f>
        <v>0</v>
      </c>
      <c r="F62" s="235">
        <f>'FY30'!H62</f>
        <v>0</v>
      </c>
      <c r="H62" s="235">
        <f>'FY26'!P62</f>
        <v>0</v>
      </c>
      <c r="I62" s="235">
        <f>'FY27'!P62</f>
        <v>0</v>
      </c>
      <c r="J62" s="235">
        <f>'FY28'!P62</f>
        <v>0</v>
      </c>
      <c r="K62" s="235">
        <f>'FY29'!P62</f>
        <v>0</v>
      </c>
      <c r="L62" s="235">
        <f>'FY30'!P62</f>
        <v>0</v>
      </c>
      <c r="N62" s="235">
        <f>'FY26'!X62</f>
        <v>0</v>
      </c>
      <c r="O62" s="235">
        <f>'FY27'!X62</f>
        <v>0</v>
      </c>
      <c r="P62" s="235">
        <f>'FY28'!X62</f>
        <v>0</v>
      </c>
      <c r="Q62" s="235">
        <f>'FY29'!X62</f>
        <v>0</v>
      </c>
      <c r="R62" s="235">
        <f>'FY30'!X62</f>
        <v>0</v>
      </c>
      <c r="T62" s="235">
        <f>'FY26'!AF62</f>
        <v>0</v>
      </c>
      <c r="U62" s="235">
        <f>'FY27'!AF62</f>
        <v>0</v>
      </c>
      <c r="V62" s="235">
        <f>'FY28'!AF62</f>
        <v>0</v>
      </c>
      <c r="W62" s="235">
        <f>'FY29'!AF62</f>
        <v>0</v>
      </c>
      <c r="X62" s="235">
        <f>'FY30'!AF62</f>
        <v>0</v>
      </c>
      <c r="Z62" s="235">
        <f>'FY26'!AN62</f>
        <v>0</v>
      </c>
      <c r="AA62" s="235">
        <f>'FY27'!AN62</f>
        <v>0</v>
      </c>
      <c r="AB62" s="235">
        <f>'FY28'!AN62</f>
        <v>0</v>
      </c>
      <c r="AC62" s="235">
        <f>'FY29'!AN62</f>
        <v>0</v>
      </c>
      <c r="AD62" s="235">
        <f>'FY30'!AN62</f>
        <v>0</v>
      </c>
      <c r="AF62" s="235">
        <f>'FY26'!AV62</f>
        <v>0</v>
      </c>
      <c r="AG62" s="235">
        <f>'FY27'!AV62</f>
        <v>0</v>
      </c>
      <c r="AH62" s="235">
        <f>'FY28'!AV62</f>
        <v>0</v>
      </c>
      <c r="AI62" s="235">
        <f>'FY29'!AV62</f>
        <v>0</v>
      </c>
      <c r="AJ62" s="235">
        <f>'FY30'!AV62</f>
        <v>0</v>
      </c>
      <c r="AL62" s="235">
        <f>'FY26'!BD62</f>
        <v>0</v>
      </c>
      <c r="AM62" s="235">
        <f>'FY27'!BD62</f>
        <v>0</v>
      </c>
      <c r="AN62" s="235">
        <f>'FY28'!BD62</f>
        <v>0</v>
      </c>
      <c r="AO62" s="235">
        <f>'FY29'!BD62</f>
        <v>0</v>
      </c>
      <c r="AP62" s="235">
        <f>'FY30'!BD62</f>
        <v>0</v>
      </c>
      <c r="AR62" s="235">
        <f>'FY26'!BL62</f>
        <v>0</v>
      </c>
      <c r="AS62" s="235">
        <f>'FY27'!BL62</f>
        <v>0</v>
      </c>
      <c r="AT62" s="235">
        <f>'FY28'!BL62</f>
        <v>0</v>
      </c>
      <c r="AU62" s="235">
        <f>'FY29'!BL62</f>
        <v>0</v>
      </c>
      <c r="AV62" s="235">
        <f>'FY30'!BL62</f>
        <v>0</v>
      </c>
      <c r="AX62" s="235">
        <f>'FY26'!BT62</f>
        <v>0</v>
      </c>
      <c r="AY62" s="235">
        <f>'FY27'!BT62</f>
        <v>0</v>
      </c>
      <c r="AZ62" s="235">
        <f>'FY28'!BT62</f>
        <v>0</v>
      </c>
      <c r="BA62" s="235">
        <f>'FY29'!BT62</f>
        <v>0</v>
      </c>
      <c r="BB62" s="235">
        <f>'FY30'!BT62</f>
        <v>0</v>
      </c>
    </row>
    <row r="63" spans="1:54" x14ac:dyDescent="0.25">
      <c r="A63" s="196" t="s">
        <v>212</v>
      </c>
      <c r="B63" s="236">
        <f>'FY26'!H63</f>
        <v>46</v>
      </c>
      <c r="C63" s="236">
        <f>'FY27'!H63</f>
        <v>47</v>
      </c>
      <c r="D63" s="236">
        <f>'FY28'!H63</f>
        <v>47</v>
      </c>
      <c r="E63" s="236">
        <f>'FY29'!H63</f>
        <v>47</v>
      </c>
      <c r="F63" s="236">
        <f>'FY30'!H63</f>
        <v>47</v>
      </c>
      <c r="H63" s="236">
        <f>'FY26'!P63</f>
        <v>113</v>
      </c>
      <c r="I63" s="236">
        <f>'FY27'!P63</f>
        <v>114</v>
      </c>
      <c r="J63" s="236">
        <f>'FY28'!P63</f>
        <v>114</v>
      </c>
      <c r="K63" s="236">
        <f>'FY29'!P63</f>
        <v>114</v>
      </c>
      <c r="L63" s="236">
        <f>'FY30'!P63</f>
        <v>114</v>
      </c>
      <c r="N63" s="236">
        <f>'FY26'!X63</f>
        <v>48</v>
      </c>
      <c r="O63" s="236">
        <f>'FY27'!X63</f>
        <v>48</v>
      </c>
      <c r="P63" s="236">
        <f>'FY28'!X63</f>
        <v>48</v>
      </c>
      <c r="Q63" s="236">
        <f>'FY29'!X63</f>
        <v>48</v>
      </c>
      <c r="R63" s="236">
        <f>'FY30'!X63</f>
        <v>48</v>
      </c>
      <c r="T63" s="236">
        <f>'FY26'!AF63</f>
        <v>61</v>
      </c>
      <c r="U63" s="236">
        <f>'FY27'!AF63</f>
        <v>61</v>
      </c>
      <c r="V63" s="236">
        <f>'FY28'!AF63</f>
        <v>61</v>
      </c>
      <c r="W63" s="236">
        <f>'FY29'!AF63</f>
        <v>61</v>
      </c>
      <c r="X63" s="236">
        <f>'FY30'!AF63</f>
        <v>61</v>
      </c>
      <c r="Z63" s="236">
        <f>'FY26'!AN63</f>
        <v>112</v>
      </c>
      <c r="AA63" s="236">
        <f>'FY27'!AN63</f>
        <v>115</v>
      </c>
      <c r="AB63" s="236">
        <f>'FY28'!AN63</f>
        <v>116</v>
      </c>
      <c r="AC63" s="236">
        <f>'FY29'!AN63</f>
        <v>114</v>
      </c>
      <c r="AD63" s="236">
        <f>'FY30'!AN63</f>
        <v>114</v>
      </c>
      <c r="AF63" s="236">
        <f>'FY26'!AV63</f>
        <v>19</v>
      </c>
      <c r="AG63" s="236">
        <f>'FY27'!AV63</f>
        <v>33</v>
      </c>
      <c r="AH63" s="236">
        <f>'FY28'!AV63</f>
        <v>38.5</v>
      </c>
      <c r="AI63" s="236">
        <f>'FY29'!AV63</f>
        <v>42</v>
      </c>
      <c r="AJ63" s="236">
        <f>'FY30'!AV63</f>
        <v>42</v>
      </c>
      <c r="AL63" s="236">
        <f>'FY26'!BD63</f>
        <v>1</v>
      </c>
      <c r="AM63" s="236">
        <f>'FY27'!BD63</f>
        <v>1</v>
      </c>
      <c r="AN63" s="236">
        <f>'FY28'!BD63</f>
        <v>1</v>
      </c>
      <c r="AO63" s="236">
        <f>'FY29'!BD63</f>
        <v>1</v>
      </c>
      <c r="AP63" s="236">
        <f>'FY30'!BD63</f>
        <v>1</v>
      </c>
      <c r="AR63" s="236">
        <f>'FY26'!BL63</f>
        <v>1</v>
      </c>
      <c r="AS63" s="236">
        <f>'FY27'!BL63</f>
        <v>1</v>
      </c>
      <c r="AT63" s="236">
        <f>'FY28'!BL63</f>
        <v>1</v>
      </c>
      <c r="AU63" s="236">
        <f>'FY29'!BL63</f>
        <v>1</v>
      </c>
      <c r="AV63" s="236">
        <f>'FY30'!BL63</f>
        <v>1</v>
      </c>
      <c r="AX63" s="236">
        <f>'FY26'!BT63</f>
        <v>401</v>
      </c>
      <c r="AY63" s="236">
        <f>'FY27'!BT63</f>
        <v>420</v>
      </c>
      <c r="AZ63" s="236">
        <f>'FY28'!BT63</f>
        <v>426.5</v>
      </c>
      <c r="BA63" s="236">
        <f>'FY29'!BT63</f>
        <v>428</v>
      </c>
      <c r="BB63" s="236">
        <f>'FY30'!BT63</f>
        <v>428</v>
      </c>
    </row>
    <row r="64" spans="1:54" x14ac:dyDescent="0.25">
      <c r="A64" s="197" t="s">
        <v>213</v>
      </c>
      <c r="B64" s="237">
        <f>'FY26'!H64</f>
        <v>26</v>
      </c>
      <c r="C64" s="237">
        <f>'FY27'!H64</f>
        <v>26</v>
      </c>
      <c r="D64" s="237">
        <f>'FY28'!H64</f>
        <v>26</v>
      </c>
      <c r="E64" s="237">
        <f>'FY29'!H64</f>
        <v>26</v>
      </c>
      <c r="F64" s="237">
        <f>'FY30'!H64</f>
        <v>25</v>
      </c>
      <c r="H64" s="237">
        <f>'FY26'!P64</f>
        <v>77</v>
      </c>
      <c r="I64" s="237">
        <f>'FY27'!P64</f>
        <v>77</v>
      </c>
      <c r="J64" s="237">
        <f>'FY28'!P64</f>
        <v>77</v>
      </c>
      <c r="K64" s="237">
        <f>'FY29'!P64</f>
        <v>76</v>
      </c>
      <c r="L64" s="237">
        <f>'FY30'!P64</f>
        <v>73</v>
      </c>
      <c r="N64" s="237">
        <f>'FY26'!X64</f>
        <v>31</v>
      </c>
      <c r="O64" s="237">
        <f>'FY27'!X64</f>
        <v>31</v>
      </c>
      <c r="P64" s="237">
        <f>'FY28'!X64</f>
        <v>30</v>
      </c>
      <c r="Q64" s="237">
        <f>'FY29'!X64</f>
        <v>29</v>
      </c>
      <c r="R64" s="237">
        <f>'FY30'!X64</f>
        <v>28</v>
      </c>
      <c r="T64" s="237">
        <f>'FY26'!AF64</f>
        <v>31.33</v>
      </c>
      <c r="U64" s="237">
        <f>'FY27'!AF64</f>
        <v>31.33</v>
      </c>
      <c r="V64" s="237">
        <f>'FY28'!AF64</f>
        <v>31.33</v>
      </c>
      <c r="W64" s="237">
        <f>'FY29'!AF64</f>
        <v>31.33</v>
      </c>
      <c r="X64" s="237">
        <f>'FY30'!AF64</f>
        <v>30.33</v>
      </c>
      <c r="Z64" s="237">
        <f>'FY26'!AN64</f>
        <v>65</v>
      </c>
      <c r="AA64" s="237">
        <f>'FY27'!AN64</f>
        <v>61.5</v>
      </c>
      <c r="AB64" s="237">
        <f>'FY28'!AN64</f>
        <v>61.5</v>
      </c>
      <c r="AC64" s="237">
        <f>'FY29'!AN64</f>
        <v>60.5</v>
      </c>
      <c r="AD64" s="237">
        <f>'FY30'!AN64</f>
        <v>59</v>
      </c>
      <c r="AF64" s="237">
        <f>'FY26'!AV64</f>
        <v>12.5</v>
      </c>
      <c r="AG64" s="237">
        <f>'FY27'!AV64</f>
        <v>16</v>
      </c>
      <c r="AH64" s="237">
        <f>'FY28'!AV64</f>
        <v>18.5</v>
      </c>
      <c r="AI64" s="237">
        <f>'FY29'!AV64</f>
        <v>22</v>
      </c>
      <c r="AJ64" s="237">
        <f>'FY30'!AV64</f>
        <v>22</v>
      </c>
      <c r="AL64" s="237">
        <f>'FY26'!BD64</f>
        <v>5</v>
      </c>
      <c r="AM64" s="237">
        <f>'FY27'!BD64</f>
        <v>6</v>
      </c>
      <c r="AN64" s="237">
        <f>'FY28'!BD64</f>
        <v>6</v>
      </c>
      <c r="AO64" s="237">
        <f>'FY29'!BD64</f>
        <v>6</v>
      </c>
      <c r="AP64" s="237">
        <f>'FY30'!BD64</f>
        <v>6</v>
      </c>
      <c r="AR64" s="237">
        <f>'FY26'!BL64</f>
        <v>5</v>
      </c>
      <c r="AS64" s="237">
        <f>'FY27'!BL64</f>
        <v>5</v>
      </c>
      <c r="AT64" s="237">
        <f>'FY28'!BL64</f>
        <v>5</v>
      </c>
      <c r="AU64" s="237">
        <f>'FY29'!BL64</f>
        <v>5</v>
      </c>
      <c r="AV64" s="237">
        <f>'FY30'!BL64</f>
        <v>5</v>
      </c>
      <c r="AX64" s="237">
        <f>'FY26'!BT64</f>
        <v>252.83</v>
      </c>
      <c r="AY64" s="237">
        <f>'FY27'!BT64</f>
        <v>253.83</v>
      </c>
      <c r="AZ64" s="237">
        <f>'FY28'!BT64</f>
        <v>255.33</v>
      </c>
      <c r="BA64" s="237">
        <f>'FY29'!BT64</f>
        <v>255.83</v>
      </c>
      <c r="BB64" s="237">
        <f>'FY30'!BT64</f>
        <v>248.33</v>
      </c>
    </row>
    <row r="65" spans="1:54" ht="16.5" thickBot="1" x14ac:dyDescent="0.3">
      <c r="A65" s="198" t="s">
        <v>214</v>
      </c>
      <c r="B65" s="238">
        <f>'FY26'!H65</f>
        <v>72</v>
      </c>
      <c r="C65" s="238">
        <f>'FY27'!H65</f>
        <v>73</v>
      </c>
      <c r="D65" s="238">
        <f>'FY28'!H65</f>
        <v>73</v>
      </c>
      <c r="E65" s="238">
        <f>'FY29'!H65</f>
        <v>73</v>
      </c>
      <c r="F65" s="238">
        <f>'FY30'!H65</f>
        <v>72</v>
      </c>
      <c r="H65" s="238">
        <f>'FY26'!P65</f>
        <v>190</v>
      </c>
      <c r="I65" s="238">
        <f>'FY27'!P65</f>
        <v>191</v>
      </c>
      <c r="J65" s="238">
        <f>'FY28'!P65</f>
        <v>191</v>
      </c>
      <c r="K65" s="238">
        <f>'FY29'!P65</f>
        <v>190</v>
      </c>
      <c r="L65" s="238">
        <f>'FY30'!P65</f>
        <v>187</v>
      </c>
      <c r="N65" s="238">
        <f>'FY26'!X65</f>
        <v>79</v>
      </c>
      <c r="O65" s="238">
        <f>'FY27'!X65</f>
        <v>79</v>
      </c>
      <c r="P65" s="238">
        <f>'FY28'!X65</f>
        <v>78</v>
      </c>
      <c r="Q65" s="238">
        <f>'FY29'!X65</f>
        <v>77</v>
      </c>
      <c r="R65" s="238">
        <f>'FY30'!X65</f>
        <v>76</v>
      </c>
      <c r="T65" s="238">
        <f>'FY26'!AF65</f>
        <v>92.33</v>
      </c>
      <c r="U65" s="238">
        <f>'FY27'!AF65</f>
        <v>92.33</v>
      </c>
      <c r="V65" s="238">
        <f>'FY28'!AF65</f>
        <v>92.33</v>
      </c>
      <c r="W65" s="238">
        <f>'FY29'!AF65</f>
        <v>92.33</v>
      </c>
      <c r="X65" s="238">
        <f>'FY30'!AF65</f>
        <v>91.33</v>
      </c>
      <c r="Z65" s="238">
        <f>'FY26'!AN65</f>
        <v>177</v>
      </c>
      <c r="AA65" s="238">
        <f>'FY27'!AN65</f>
        <v>176.5</v>
      </c>
      <c r="AB65" s="238">
        <f>'FY28'!AN65</f>
        <v>177.5</v>
      </c>
      <c r="AC65" s="238">
        <f>'FY29'!AN65</f>
        <v>174.5</v>
      </c>
      <c r="AD65" s="238">
        <f>'FY30'!AN65</f>
        <v>173</v>
      </c>
      <c r="AF65" s="238">
        <f>'FY26'!AV65</f>
        <v>31.5</v>
      </c>
      <c r="AG65" s="238">
        <f>'FY27'!AV65</f>
        <v>49</v>
      </c>
      <c r="AH65" s="238">
        <f>'FY28'!AV65</f>
        <v>57</v>
      </c>
      <c r="AI65" s="238">
        <f>'FY29'!AV65</f>
        <v>64</v>
      </c>
      <c r="AJ65" s="238">
        <f>'FY30'!AV65</f>
        <v>64</v>
      </c>
      <c r="AL65" s="238">
        <f>'FY26'!BD65</f>
        <v>6</v>
      </c>
      <c r="AM65" s="238">
        <f>'FY27'!BD65</f>
        <v>7</v>
      </c>
      <c r="AN65" s="238">
        <f>'FY28'!BD65</f>
        <v>7</v>
      </c>
      <c r="AO65" s="238">
        <f>'FY29'!BD65</f>
        <v>7</v>
      </c>
      <c r="AP65" s="238">
        <f>'FY30'!BD65</f>
        <v>7</v>
      </c>
      <c r="AR65" s="238">
        <f>'FY26'!BL65</f>
        <v>6</v>
      </c>
      <c r="AS65" s="238">
        <f>'FY27'!BL65</f>
        <v>6</v>
      </c>
      <c r="AT65" s="238">
        <f>'FY28'!BL65</f>
        <v>6</v>
      </c>
      <c r="AU65" s="238">
        <f>'FY29'!BL65</f>
        <v>6</v>
      </c>
      <c r="AV65" s="238">
        <f>'FY30'!BL65</f>
        <v>6</v>
      </c>
      <c r="AX65" s="238">
        <f>'FY26'!BT65</f>
        <v>653.83000000000004</v>
      </c>
      <c r="AY65" s="238">
        <f>'FY27'!BT65</f>
        <v>673.83</v>
      </c>
      <c r="AZ65" s="238">
        <f>'FY28'!BT65</f>
        <v>681.83</v>
      </c>
      <c r="BA65" s="238">
        <f>'FY29'!BT65</f>
        <v>683.83</v>
      </c>
      <c r="BB65" s="238">
        <f>'FY30'!BT65</f>
        <v>676.33</v>
      </c>
    </row>
    <row r="66" spans="1:54" ht="16.5" thickBot="1" x14ac:dyDescent="0.3">
      <c r="B66" s="116">
        <f>'FY26'!H66</f>
        <v>0</v>
      </c>
      <c r="C66" s="116">
        <f>'FY27'!H66</f>
        <v>0</v>
      </c>
      <c r="D66" s="116">
        <f>'FY28'!H66</f>
        <v>0</v>
      </c>
      <c r="E66" s="116">
        <f>'FY29'!H66</f>
        <v>0</v>
      </c>
      <c r="F66" s="116">
        <f>'FY30'!H66</f>
        <v>0</v>
      </c>
      <c r="H66" s="116">
        <f>'FY26'!P66</f>
        <v>0</v>
      </c>
      <c r="I66" s="116">
        <f>'FY27'!P66</f>
        <v>0</v>
      </c>
      <c r="J66" s="116">
        <f>'FY28'!P66</f>
        <v>0</v>
      </c>
      <c r="K66" s="116">
        <f>'FY29'!P66</f>
        <v>0</v>
      </c>
      <c r="L66" s="116">
        <f>'FY30'!P66</f>
        <v>0</v>
      </c>
      <c r="N66" s="116">
        <f>'FY26'!X66</f>
        <v>0</v>
      </c>
      <c r="O66" s="116">
        <f>'FY27'!X66</f>
        <v>0</v>
      </c>
      <c r="P66" s="116">
        <f>'FY28'!X66</f>
        <v>0</v>
      </c>
      <c r="Q66" s="116">
        <f>'FY29'!X66</f>
        <v>0</v>
      </c>
      <c r="R66" s="116">
        <f>'FY30'!X66</f>
        <v>0</v>
      </c>
      <c r="T66" s="116">
        <f>'FY26'!AF66</f>
        <v>0</v>
      </c>
      <c r="U66" s="116">
        <f>'FY27'!AF66</f>
        <v>0</v>
      </c>
      <c r="V66" s="116">
        <f>'FY28'!AF66</f>
        <v>0</v>
      </c>
      <c r="W66" s="116">
        <f>'FY29'!AF66</f>
        <v>0</v>
      </c>
      <c r="X66" s="116">
        <f>'FY30'!AF66</f>
        <v>0</v>
      </c>
      <c r="Z66" s="116">
        <f>'FY26'!AN66</f>
        <v>0</v>
      </c>
      <c r="AA66" s="116">
        <f>'FY27'!AN66</f>
        <v>0</v>
      </c>
      <c r="AB66" s="116">
        <f>'FY28'!AN66</f>
        <v>0</v>
      </c>
      <c r="AC66" s="116">
        <f>'FY29'!AN66</f>
        <v>0</v>
      </c>
      <c r="AD66" s="116">
        <f>'FY30'!AN66</f>
        <v>0</v>
      </c>
      <c r="AF66" s="116">
        <f>'FY26'!AV66</f>
        <v>0</v>
      </c>
      <c r="AG66" s="116">
        <f>'FY27'!AV66</f>
        <v>0</v>
      </c>
      <c r="AH66" s="116">
        <f>'FY28'!AV66</f>
        <v>0</v>
      </c>
      <c r="AI66" s="116">
        <f>'FY29'!AV66</f>
        <v>0</v>
      </c>
      <c r="AJ66" s="116">
        <f>'FY30'!AV66</f>
        <v>0</v>
      </c>
      <c r="AL66" s="116">
        <f>'FY26'!BD66</f>
        <v>0</v>
      </c>
      <c r="AM66" s="116">
        <f>'FY27'!BD66</f>
        <v>0</v>
      </c>
      <c r="AN66" s="116">
        <f>'FY28'!BD66</f>
        <v>0</v>
      </c>
      <c r="AO66" s="116">
        <f>'FY29'!BD66</f>
        <v>0</v>
      </c>
      <c r="AP66" s="116">
        <f>'FY30'!BD66</f>
        <v>0</v>
      </c>
      <c r="AR66" s="116">
        <f>'FY26'!BL66</f>
        <v>0</v>
      </c>
      <c r="AS66" s="116">
        <f>'FY27'!BL66</f>
        <v>0</v>
      </c>
      <c r="AT66" s="116">
        <f>'FY28'!BL66</f>
        <v>0</v>
      </c>
      <c r="AU66" s="116">
        <f>'FY29'!BL66</f>
        <v>0</v>
      </c>
      <c r="AV66" s="116">
        <f>'FY30'!BL66</f>
        <v>0</v>
      </c>
      <c r="AX66" s="116">
        <f>'FY26'!BT66</f>
        <v>0</v>
      </c>
      <c r="AY66" s="116">
        <f>'FY27'!BT66</f>
        <v>0</v>
      </c>
      <c r="AZ66" s="116">
        <f>'FY28'!BT66</f>
        <v>0</v>
      </c>
      <c r="BA66" s="116">
        <f>'FY29'!BT66</f>
        <v>0</v>
      </c>
      <c r="BB66" s="116">
        <f>'FY30'!BT66</f>
        <v>0</v>
      </c>
    </row>
    <row r="67" spans="1:54" ht="16.5" thickBot="1" x14ac:dyDescent="0.3">
      <c r="A67" s="199"/>
      <c r="B67" s="239" t="str">
        <f>'FY26'!H67</f>
        <v>Total (25-26)</v>
      </c>
      <c r="C67" s="239" t="str">
        <f>'FY27'!H67</f>
        <v>Horizon</v>
      </c>
      <c r="D67" s="239" t="str">
        <f>'FY28'!H67</f>
        <v>Horizon</v>
      </c>
      <c r="E67" s="239" t="str">
        <f>'FY29'!H67</f>
        <v>Horizon</v>
      </c>
      <c r="F67" s="239" t="str">
        <f>'FY30'!H67</f>
        <v>Horizon</v>
      </c>
      <c r="H67" s="239" t="str">
        <f>'FY26'!P67</f>
        <v>Cadence</v>
      </c>
      <c r="I67" s="239" t="str">
        <f>'FY27'!P67</f>
        <v>Cadence</v>
      </c>
      <c r="J67" s="239" t="str">
        <f>'FY28'!P67</f>
        <v>Cadence</v>
      </c>
      <c r="K67" s="239" t="str">
        <f>'FY29'!P67</f>
        <v>Cadence</v>
      </c>
      <c r="L67" s="239" t="str">
        <f>'FY30'!P67</f>
        <v>Cadence</v>
      </c>
      <c r="N67" s="239" t="str">
        <f>'FY26'!X67</f>
        <v>St. Rose</v>
      </c>
      <c r="O67" s="239" t="str">
        <f>'FY27'!X67</f>
        <v>St. Rose</v>
      </c>
      <c r="P67" s="239" t="str">
        <f>'FY28'!X67</f>
        <v>St. Rose</v>
      </c>
      <c r="Q67" s="239" t="str">
        <f>'FY29'!X67</f>
        <v>St. Rose</v>
      </c>
      <c r="R67" s="239" t="str">
        <f>'FY30'!X67</f>
        <v>St. Rose</v>
      </c>
      <c r="T67" s="239" t="str">
        <f>'FY26'!AF67</f>
        <v>Inspirada</v>
      </c>
      <c r="U67" s="239" t="str">
        <f>'FY27'!AF67</f>
        <v>Inspirada</v>
      </c>
      <c r="V67" s="239" t="str">
        <f>'FY28'!AF67</f>
        <v>Inspirada</v>
      </c>
      <c r="W67" s="239" t="str">
        <f>'FY29'!AF67</f>
        <v>Inspirada</v>
      </c>
      <c r="X67" s="239" t="str">
        <f>'FY30'!AF67</f>
        <v>Inspirada</v>
      </c>
      <c r="Z67" s="239" t="str">
        <f>'FY26'!AN67</f>
        <v>Sloan</v>
      </c>
      <c r="AA67" s="239" t="str">
        <f>'FY27'!AN67</f>
        <v>Sloan</v>
      </c>
      <c r="AB67" s="239" t="str">
        <f>'FY28'!AN67</f>
        <v>Sloan</v>
      </c>
      <c r="AC67" s="239" t="str">
        <f>'FY29'!AN67</f>
        <v>Sloan</v>
      </c>
      <c r="AD67" s="239" t="str">
        <f>'FY30'!AN67</f>
        <v>Sloan</v>
      </c>
      <c r="AF67" s="239" t="str">
        <f>'FY26'!AV67</f>
        <v>Springs</v>
      </c>
      <c r="AG67" s="239" t="str">
        <f>'FY27'!AV67</f>
        <v>Springs</v>
      </c>
      <c r="AH67" s="239" t="str">
        <f>'FY28'!AV67</f>
        <v>Springs</v>
      </c>
      <c r="AI67" s="239" t="str">
        <f>'FY29'!AV67</f>
        <v>Springs</v>
      </c>
      <c r="AJ67" s="239" t="str">
        <f>'FY30'!AV67</f>
        <v>Springs</v>
      </c>
      <c r="AL67" s="239" t="str">
        <f>'FY26'!BD67</f>
        <v>Virtual</v>
      </c>
      <c r="AM67" s="239" t="str">
        <f>'FY27'!BD67</f>
        <v>Virtual</v>
      </c>
      <c r="AN67" s="239" t="str">
        <f>'FY28'!BD67</f>
        <v>Virtual</v>
      </c>
      <c r="AO67" s="239" t="str">
        <f>'FY29'!BD67</f>
        <v>Virtual</v>
      </c>
      <c r="AP67" s="239" t="str">
        <f>'FY30'!BD67</f>
        <v>Virtual</v>
      </c>
      <c r="AR67" s="239" t="str">
        <f>'FY26'!BL67</f>
        <v>Central</v>
      </c>
      <c r="AS67" s="239" t="str">
        <f>'FY27'!BL67</f>
        <v>Central</v>
      </c>
      <c r="AT67" s="239" t="str">
        <f>'FY28'!BL67</f>
        <v>Central</v>
      </c>
      <c r="AU67" s="239" t="str">
        <f>'FY29'!BL67</f>
        <v>Central</v>
      </c>
      <c r="AV67" s="239" t="str">
        <f>'FY30'!BL67</f>
        <v>Central</v>
      </c>
      <c r="AX67" s="239" t="str">
        <f>'FY26'!BT67</f>
        <v>System</v>
      </c>
      <c r="AY67" s="239" t="str">
        <f>'FY27'!BT67</f>
        <v>System</v>
      </c>
      <c r="AZ67" s="239" t="str">
        <f>'FY28'!BT67</f>
        <v>System</v>
      </c>
      <c r="BA67" s="239" t="str">
        <f>'FY29'!BT67</f>
        <v>System</v>
      </c>
      <c r="BB67" s="239" t="str">
        <f>'FY30'!BT67</f>
        <v>System</v>
      </c>
    </row>
    <row r="68" spans="1:54" x14ac:dyDescent="0.25">
      <c r="A68" s="200" t="s">
        <v>215</v>
      </c>
      <c r="B68" s="241">
        <f>'FY26'!H68</f>
        <v>8568560</v>
      </c>
      <c r="C68" s="241">
        <f>'FY27'!H68</f>
        <v>8793522</v>
      </c>
      <c r="D68" s="241">
        <f>'FY28'!H68</f>
        <v>8927010</v>
      </c>
      <c r="E68" s="241">
        <f>'FY29'!H68</f>
        <v>9061425</v>
      </c>
      <c r="F68" s="241">
        <f>'FY30'!H68</f>
        <v>9200475</v>
      </c>
      <c r="H68" s="241">
        <f>'FY26'!P68</f>
        <v>23408176</v>
      </c>
      <c r="I68" s="241">
        <f>'FY27'!P68</f>
        <v>23847804</v>
      </c>
      <c r="J68" s="241">
        <f>'FY28'!P68</f>
        <v>24209820</v>
      </c>
      <c r="K68" s="241">
        <f>'FY29'!P68</f>
        <v>24574350</v>
      </c>
      <c r="L68" s="241">
        <f>'FY30'!P68</f>
        <v>24951450</v>
      </c>
      <c r="N68" s="241">
        <f>'FY26'!X68</f>
        <v>9698480</v>
      </c>
      <c r="O68" s="241">
        <f>'FY27'!X68</f>
        <v>9770580</v>
      </c>
      <c r="P68" s="241">
        <f>'FY28'!X68</f>
        <v>9918900</v>
      </c>
      <c r="Q68" s="241">
        <f>'FY29'!X68</f>
        <v>10068250</v>
      </c>
      <c r="R68" s="241">
        <f>'FY30'!X68</f>
        <v>10222750</v>
      </c>
      <c r="T68" s="241">
        <f>'FY26'!AF68</f>
        <v>11148544</v>
      </c>
      <c r="U68" s="241">
        <f>'FY27'!AF68</f>
        <v>11364228</v>
      </c>
      <c r="V68" s="241">
        <f>'FY28'!AF68</f>
        <v>11536740</v>
      </c>
      <c r="W68" s="241">
        <f>'FY29'!AF68</f>
        <v>11710450</v>
      </c>
      <c r="X68" s="241">
        <f>'FY30'!AF68</f>
        <v>11890150</v>
      </c>
      <c r="Z68" s="241">
        <f>'FY26'!AN68</f>
        <v>22749056</v>
      </c>
      <c r="AA68" s="241">
        <f>'FY27'!AN68</f>
        <v>23696028</v>
      </c>
      <c r="AB68" s="241">
        <f>'FY28'!AN68</f>
        <v>24460200</v>
      </c>
      <c r="AC68" s="241">
        <f>'FY29'!AN68</f>
        <v>24515700</v>
      </c>
      <c r="AD68" s="241">
        <f>'FY30'!AN68</f>
        <v>24891900</v>
      </c>
      <c r="AF68" s="241">
        <f>'FY26'!AV68</f>
        <v>3483920</v>
      </c>
      <c r="AG68" s="241">
        <f>'FY27'!AV68</f>
        <v>6526368</v>
      </c>
      <c r="AH68" s="241">
        <f>'FY28'!AV68</f>
        <v>7838820</v>
      </c>
      <c r="AI68" s="241">
        <f>'FY29'!AV68</f>
        <v>8934350</v>
      </c>
      <c r="AJ68" s="241">
        <f>'FY30'!AV68</f>
        <v>9131000</v>
      </c>
      <c r="AL68" s="241">
        <f>'FY26'!BD68</f>
        <v>1318240</v>
      </c>
      <c r="AM68" s="241">
        <f>'FY27'!BD68</f>
        <v>1726452</v>
      </c>
      <c r="AN68" s="241">
        <f>'FY28'!BD68</f>
        <v>1752660</v>
      </c>
      <c r="AO68" s="241">
        <f>'FY29'!BD68</f>
        <v>1779050</v>
      </c>
      <c r="AP68" s="241">
        <f>'FY30'!BD68</f>
        <v>1806350</v>
      </c>
      <c r="AR68" s="241">
        <f>'FY26'!BL68</f>
        <v>0</v>
      </c>
      <c r="AS68" s="241">
        <f>'FY27'!BL68</f>
        <v>0</v>
      </c>
      <c r="AT68" s="241">
        <f>'FY28'!BL68</f>
        <v>0</v>
      </c>
      <c r="AU68" s="241">
        <f>'FY29'!BL68</f>
        <v>0</v>
      </c>
      <c r="AV68" s="241">
        <f>'FY30'!BL68</f>
        <v>0</v>
      </c>
      <c r="AX68" s="241">
        <f>'FY26'!BT68</f>
        <v>80374976</v>
      </c>
      <c r="AY68" s="241">
        <f>'FY27'!BT68</f>
        <v>85724982</v>
      </c>
      <c r="AZ68" s="241">
        <f>'FY28'!BT68</f>
        <v>88644150</v>
      </c>
      <c r="BA68" s="241">
        <f>'FY29'!BT68</f>
        <v>90643575</v>
      </c>
      <c r="BB68" s="241">
        <f>'FY30'!BT68</f>
        <v>92094075</v>
      </c>
    </row>
    <row r="69" spans="1:54" x14ac:dyDescent="0.25">
      <c r="A69" s="201" t="s">
        <v>216</v>
      </c>
      <c r="B69" s="241">
        <f>'FY26'!H69</f>
        <v>148225</v>
      </c>
      <c r="C69" s="241">
        <f>'FY27'!H69</f>
        <v>149415</v>
      </c>
      <c r="D69" s="241">
        <f>'FY28'!H69</f>
        <v>151690</v>
      </c>
      <c r="E69" s="241">
        <f>'FY29'!H69</f>
        <v>153965</v>
      </c>
      <c r="F69" s="241">
        <f>'FY30'!H69</f>
        <v>156310</v>
      </c>
      <c r="H69" s="241">
        <f>'FY26'!P69</f>
        <v>211750</v>
      </c>
      <c r="I69" s="241">
        <f>'FY27'!P69</f>
        <v>213450</v>
      </c>
      <c r="J69" s="241">
        <f>'FY28'!P69</f>
        <v>216700</v>
      </c>
      <c r="K69" s="241">
        <f>'FY29'!P69</f>
        <v>219950</v>
      </c>
      <c r="L69" s="241">
        <f>'FY30'!P69</f>
        <v>223300</v>
      </c>
      <c r="N69" s="241">
        <f>'FY26'!X69</f>
        <v>93170</v>
      </c>
      <c r="O69" s="241">
        <f>'FY27'!X69</f>
        <v>93918</v>
      </c>
      <c r="P69" s="241">
        <f>'FY28'!X69</f>
        <v>95348</v>
      </c>
      <c r="Q69" s="241">
        <f>'FY29'!X69</f>
        <v>96778</v>
      </c>
      <c r="R69" s="241">
        <f>'FY30'!X69</f>
        <v>98252</v>
      </c>
      <c r="T69" s="241">
        <f>'FY26'!AF69</f>
        <v>177870</v>
      </c>
      <c r="U69" s="241">
        <f>'FY27'!AF69</f>
        <v>179298</v>
      </c>
      <c r="V69" s="241">
        <f>'FY28'!AF69</f>
        <v>182028</v>
      </c>
      <c r="W69" s="241">
        <f>'FY29'!AF69</f>
        <v>184758</v>
      </c>
      <c r="X69" s="241">
        <f>'FY30'!AF69</f>
        <v>183372</v>
      </c>
      <c r="Z69" s="241">
        <f>'FY26'!AN69</f>
        <v>190575</v>
      </c>
      <c r="AA69" s="241">
        <f>'FY27'!AN69</f>
        <v>192105</v>
      </c>
      <c r="AB69" s="241">
        <f>'FY28'!AN69</f>
        <v>195030</v>
      </c>
      <c r="AC69" s="241">
        <f>'FY29'!AN69</f>
        <v>197955</v>
      </c>
      <c r="AD69" s="241">
        <f>'FY30'!AN69</f>
        <v>200970</v>
      </c>
      <c r="AF69" s="241">
        <f>'FY26'!AV69</f>
        <v>118580</v>
      </c>
      <c r="AG69" s="241">
        <f>'FY27'!AV69</f>
        <v>140877</v>
      </c>
      <c r="AH69" s="241">
        <f>'FY28'!AV69</f>
        <v>195030</v>
      </c>
      <c r="AI69" s="241">
        <f>'FY29'!AV69</f>
        <v>206753</v>
      </c>
      <c r="AJ69" s="241">
        <f>'FY30'!AV69</f>
        <v>223300</v>
      </c>
      <c r="AL69" s="241">
        <f>'FY26'!BD69</f>
        <v>8470</v>
      </c>
      <c r="AM69" s="241">
        <f>'FY27'!BD69</f>
        <v>8470</v>
      </c>
      <c r="AN69" s="241">
        <f>'FY28'!BD69</f>
        <v>8668</v>
      </c>
      <c r="AO69" s="241">
        <f>'FY29'!BD69</f>
        <v>8798</v>
      </c>
      <c r="AP69" s="241">
        <f>'FY30'!BD69</f>
        <v>8932</v>
      </c>
      <c r="AR69" s="241">
        <f>'FY26'!BL69</f>
        <v>0</v>
      </c>
      <c r="AS69" s="241">
        <f>'FY27'!BL69</f>
        <v>0</v>
      </c>
      <c r="AT69" s="241">
        <f>'FY28'!BL69</f>
        <v>0</v>
      </c>
      <c r="AU69" s="241">
        <f>'FY29'!BL69</f>
        <v>0</v>
      </c>
      <c r="AV69" s="241">
        <f>'FY30'!BL69</f>
        <v>0</v>
      </c>
      <c r="AX69" s="241">
        <f>'FY26'!BT69</f>
        <v>948640</v>
      </c>
      <c r="AY69" s="241">
        <f>'FY27'!BT69</f>
        <v>977533</v>
      </c>
      <c r="AZ69" s="241">
        <f>'FY28'!BT69</f>
        <v>1044494</v>
      </c>
      <c r="BA69" s="241">
        <f>'FY29'!BT69</f>
        <v>1068957</v>
      </c>
      <c r="BB69" s="241">
        <f>'FY30'!BT69</f>
        <v>1094436</v>
      </c>
    </row>
    <row r="70" spans="1:54" x14ac:dyDescent="0.25">
      <c r="A70" s="201" t="s">
        <v>217</v>
      </c>
      <c r="B70" s="241">
        <f>'FY26'!H70</f>
        <v>37290</v>
      </c>
      <c r="C70" s="241">
        <f>'FY27'!H70</f>
        <v>37554</v>
      </c>
      <c r="D70" s="241">
        <f>'FY28'!H70</f>
        <v>38148</v>
      </c>
      <c r="E70" s="241">
        <f>'FY29'!H70</f>
        <v>38709</v>
      </c>
      <c r="F70" s="241">
        <f>'FY30'!H70</f>
        <v>39303</v>
      </c>
      <c r="H70" s="241">
        <f>'FY26'!P70</f>
        <v>45200</v>
      </c>
      <c r="I70" s="241">
        <f>'FY27'!P70</f>
        <v>45520</v>
      </c>
      <c r="J70" s="241">
        <f>'FY28'!P70</f>
        <v>46240</v>
      </c>
      <c r="K70" s="241">
        <f>'FY29'!P70</f>
        <v>46920</v>
      </c>
      <c r="L70" s="241">
        <f>'FY30'!P70</f>
        <v>47640</v>
      </c>
      <c r="N70" s="241">
        <f>'FY26'!X70</f>
        <v>75710</v>
      </c>
      <c r="O70" s="241">
        <f>'FY27'!X70</f>
        <v>76246</v>
      </c>
      <c r="P70" s="241">
        <f>'FY28'!X70</f>
        <v>77318</v>
      </c>
      <c r="Q70" s="241">
        <f>'FY29'!X70</f>
        <v>78591</v>
      </c>
      <c r="R70" s="241">
        <f>'FY30'!X70</f>
        <v>79797</v>
      </c>
      <c r="T70" s="241">
        <f>'FY26'!AF70</f>
        <v>63280</v>
      </c>
      <c r="U70" s="241">
        <f>'FY27'!AF70</f>
        <v>63728</v>
      </c>
      <c r="V70" s="241">
        <f>'FY28'!AF70</f>
        <v>64624</v>
      </c>
      <c r="W70" s="241">
        <f>'FY29'!AF70</f>
        <v>65688</v>
      </c>
      <c r="X70" s="241">
        <f>'FY30'!AF70</f>
        <v>66696</v>
      </c>
      <c r="Z70" s="241">
        <f>'FY26'!AN70</f>
        <v>100570</v>
      </c>
      <c r="AA70" s="241">
        <f>'FY27'!AN70</f>
        <v>101282</v>
      </c>
      <c r="AB70" s="241">
        <f>'FY28'!AN70</f>
        <v>102706</v>
      </c>
      <c r="AC70" s="241">
        <f>'FY29'!AN70</f>
        <v>104397</v>
      </c>
      <c r="AD70" s="241">
        <f>'FY30'!AN70</f>
        <v>105999</v>
      </c>
      <c r="AF70" s="241">
        <f>'FY26'!AV70</f>
        <v>0</v>
      </c>
      <c r="AG70" s="241">
        <f>'FY27'!AV70</f>
        <v>0</v>
      </c>
      <c r="AH70" s="241">
        <f>'FY28'!AV70</f>
        <v>0</v>
      </c>
      <c r="AI70" s="241">
        <f>'FY29'!AV70</f>
        <v>0</v>
      </c>
      <c r="AJ70" s="241">
        <f>'FY30'!AV70</f>
        <v>0</v>
      </c>
      <c r="AL70" s="241">
        <f>'FY26'!BD70</f>
        <v>0</v>
      </c>
      <c r="AM70" s="241">
        <f>'FY27'!BD70</f>
        <v>0</v>
      </c>
      <c r="AN70" s="241">
        <f>'FY28'!BD70</f>
        <v>0</v>
      </c>
      <c r="AO70" s="241">
        <f>'FY29'!BD70</f>
        <v>0</v>
      </c>
      <c r="AP70" s="241">
        <f>'FY30'!BD70</f>
        <v>0</v>
      </c>
      <c r="AR70" s="241">
        <f>'FY26'!BL70</f>
        <v>0</v>
      </c>
      <c r="AS70" s="241">
        <f>'FY27'!BL70</f>
        <v>0</v>
      </c>
      <c r="AT70" s="241">
        <f>'FY28'!BL70</f>
        <v>0</v>
      </c>
      <c r="AU70" s="241">
        <f>'FY29'!BL70</f>
        <v>0</v>
      </c>
      <c r="AV70" s="241">
        <f>'FY30'!BL70</f>
        <v>0</v>
      </c>
      <c r="AX70" s="241">
        <f>'FY26'!BT70</f>
        <v>322050</v>
      </c>
      <c r="AY70" s="241">
        <f>'FY27'!BT70</f>
        <v>324330</v>
      </c>
      <c r="AZ70" s="241">
        <f>'FY28'!BT70</f>
        <v>329036</v>
      </c>
      <c r="BA70" s="241">
        <f>'FY29'!BT70</f>
        <v>334305</v>
      </c>
      <c r="BB70" s="241">
        <f>'FY30'!BT70</f>
        <v>339435</v>
      </c>
    </row>
    <row r="71" spans="1:54" x14ac:dyDescent="0.25">
      <c r="A71" s="201" t="s">
        <v>218</v>
      </c>
      <c r="B71" s="241">
        <f>'FY26'!H71</f>
        <v>0</v>
      </c>
      <c r="C71" s="241">
        <f>'FY27'!H71</f>
        <v>66400</v>
      </c>
      <c r="D71" s="241">
        <f>'FY28'!H71</f>
        <v>67420</v>
      </c>
      <c r="E71" s="241">
        <f>'FY29'!H71</f>
        <v>68420</v>
      </c>
      <c r="F71" s="241">
        <f>'FY30'!H71</f>
        <v>69480</v>
      </c>
      <c r="H71" s="241">
        <f>'FY26'!P71</f>
        <v>181170</v>
      </c>
      <c r="I71" s="241">
        <f>'FY27'!P71</f>
        <v>381800</v>
      </c>
      <c r="J71" s="241">
        <f>'FY28'!P71</f>
        <v>387665</v>
      </c>
      <c r="K71" s="241">
        <f>'FY29'!P71</f>
        <v>393415</v>
      </c>
      <c r="L71" s="241">
        <f>'FY30'!P71</f>
        <v>399510</v>
      </c>
      <c r="N71" s="241">
        <f>'FY26'!X71</f>
        <v>0</v>
      </c>
      <c r="O71" s="241">
        <f>'FY27'!X71</f>
        <v>26560</v>
      </c>
      <c r="P71" s="241">
        <f>'FY28'!X71</f>
        <v>26968</v>
      </c>
      <c r="Q71" s="241">
        <f>'FY29'!X71</f>
        <v>27368</v>
      </c>
      <c r="R71" s="241">
        <f>'FY30'!X71</f>
        <v>27792</v>
      </c>
      <c r="T71" s="241">
        <f>'FY26'!AF71</f>
        <v>0</v>
      </c>
      <c r="U71" s="241">
        <f>'FY27'!AF71</f>
        <v>0</v>
      </c>
      <c r="V71" s="241">
        <f>'FY28'!AF71</f>
        <v>0</v>
      </c>
      <c r="W71" s="241">
        <f>'FY29'!AF71</f>
        <v>0</v>
      </c>
      <c r="X71" s="241">
        <f>'FY30'!AF71</f>
        <v>0</v>
      </c>
      <c r="Z71" s="241">
        <f>'FY26'!AN71</f>
        <v>148230</v>
      </c>
      <c r="AA71" s="241">
        <f>'FY27'!AN71</f>
        <v>265600</v>
      </c>
      <c r="AB71" s="241">
        <f>'FY28'!AN71</f>
        <v>269680</v>
      </c>
      <c r="AC71" s="241">
        <f>'FY29'!AN71</f>
        <v>273680</v>
      </c>
      <c r="AD71" s="241">
        <f>'FY30'!AN71</f>
        <v>277920</v>
      </c>
      <c r="AF71" s="241">
        <f>'FY26'!AV71</f>
        <v>32940</v>
      </c>
      <c r="AG71" s="241">
        <f>'FY27'!AV71</f>
        <v>83000</v>
      </c>
      <c r="AH71" s="241">
        <f>'FY28'!AV71</f>
        <v>219115</v>
      </c>
      <c r="AI71" s="241">
        <f>'FY29'!AV71</f>
        <v>256575</v>
      </c>
      <c r="AJ71" s="241">
        <f>'FY30'!AV71</f>
        <v>295290</v>
      </c>
      <c r="AL71" s="241">
        <f>'FY26'!BD71</f>
        <v>6588</v>
      </c>
      <c r="AM71" s="241">
        <f>'FY27'!BD71</f>
        <v>49410</v>
      </c>
      <c r="AN71" s="241">
        <f>'FY28'!BD71</f>
        <v>50565</v>
      </c>
      <c r="AO71" s="241">
        <f>'FY29'!BD71</f>
        <v>51315</v>
      </c>
      <c r="AP71" s="241">
        <f>'FY30'!BD71</f>
        <v>52110</v>
      </c>
      <c r="AR71" s="241">
        <f>'FY26'!BL71</f>
        <v>0</v>
      </c>
      <c r="AS71" s="241">
        <f>'FY27'!BL71</f>
        <v>0</v>
      </c>
      <c r="AT71" s="241">
        <f>'FY28'!BL71</f>
        <v>0</v>
      </c>
      <c r="AU71" s="241">
        <f>'FY29'!BL71</f>
        <v>0</v>
      </c>
      <c r="AV71" s="241">
        <f>'FY30'!BL71</f>
        <v>0</v>
      </c>
      <c r="AX71" s="241">
        <f>'FY26'!BT71</f>
        <v>368928</v>
      </c>
      <c r="AY71" s="241">
        <f>'FY27'!BT71</f>
        <v>872770</v>
      </c>
      <c r="AZ71" s="241">
        <f>'FY28'!BT71</f>
        <v>1021413</v>
      </c>
      <c r="BA71" s="241">
        <f>'FY29'!BT71</f>
        <v>1070773</v>
      </c>
      <c r="BB71" s="241">
        <f>'FY30'!BT71</f>
        <v>1122102</v>
      </c>
    </row>
    <row r="72" spans="1:54" x14ac:dyDescent="0.25">
      <c r="A72" s="201" t="s">
        <v>219</v>
      </c>
      <c r="B72" s="241">
        <f>'FY26'!H72</f>
        <v>260108</v>
      </c>
      <c r="C72" s="241">
        <f>'FY27'!H72</f>
        <v>250000</v>
      </c>
      <c r="D72" s="241">
        <f>'FY28'!H72</f>
        <v>250000</v>
      </c>
      <c r="E72" s="241">
        <f>'FY29'!H72</f>
        <v>250000</v>
      </c>
      <c r="F72" s="241">
        <f>'FY30'!H72</f>
        <v>250000</v>
      </c>
      <c r="H72" s="241">
        <f>'FY26'!P72</f>
        <v>619000</v>
      </c>
      <c r="I72" s="241">
        <f>'FY27'!P72</f>
        <v>610000</v>
      </c>
      <c r="J72" s="241">
        <f>'FY28'!P72</f>
        <v>610000</v>
      </c>
      <c r="K72" s="241">
        <f>'FY29'!P72</f>
        <v>610000</v>
      </c>
      <c r="L72" s="241">
        <f>'FY30'!P72</f>
        <v>610000</v>
      </c>
      <c r="N72" s="241">
        <f>'FY26'!X72</f>
        <v>247533</v>
      </c>
      <c r="O72" s="241">
        <f>'FY27'!X72</f>
        <v>240000</v>
      </c>
      <c r="P72" s="241">
        <f>'FY28'!X72</f>
        <v>240000</v>
      </c>
      <c r="Q72" s="241">
        <f>'FY29'!X72</f>
        <v>240000</v>
      </c>
      <c r="R72" s="241">
        <f>'FY30'!X72</f>
        <v>240000</v>
      </c>
      <c r="T72" s="241">
        <f>'FY26'!AF72</f>
        <v>291746</v>
      </c>
      <c r="U72" s="241">
        <f>'FY27'!AF72</f>
        <v>285000</v>
      </c>
      <c r="V72" s="241">
        <f>'FY28'!AF72</f>
        <v>285000</v>
      </c>
      <c r="W72" s="241">
        <f>'FY29'!AF72</f>
        <v>285000</v>
      </c>
      <c r="X72" s="241">
        <f>'FY30'!AF72</f>
        <v>285000</v>
      </c>
      <c r="Z72" s="241">
        <f>'FY26'!AN72</f>
        <v>588316</v>
      </c>
      <c r="AA72" s="241">
        <f>'FY27'!AN72</f>
        <v>585000</v>
      </c>
      <c r="AB72" s="241">
        <f>'FY28'!AN72</f>
        <v>585000</v>
      </c>
      <c r="AC72" s="241">
        <f>'FY29'!AN72</f>
        <v>585000</v>
      </c>
      <c r="AD72" s="241">
        <f>'FY30'!AN72</f>
        <v>585000</v>
      </c>
      <c r="AF72" s="241">
        <f>'FY26'!AV72</f>
        <v>99902</v>
      </c>
      <c r="AG72" s="241">
        <f>'FY27'!AV72</f>
        <v>99000</v>
      </c>
      <c r="AH72" s="241">
        <f>'FY28'!AV72</f>
        <v>135000</v>
      </c>
      <c r="AI72" s="241">
        <f>'FY29'!AV72</f>
        <v>155000</v>
      </c>
      <c r="AJ72" s="241">
        <f>'FY30'!AV72</f>
        <v>175000</v>
      </c>
      <c r="AL72" s="241">
        <f>'FY26'!BD72</f>
        <v>37126</v>
      </c>
      <c r="AM72" s="241">
        <f>'FY27'!BD72</f>
        <v>37126</v>
      </c>
      <c r="AN72" s="241">
        <f>'FY28'!BD72</f>
        <v>37126</v>
      </c>
      <c r="AO72" s="241">
        <f>'FY29'!BD72</f>
        <v>37126</v>
      </c>
      <c r="AP72" s="241">
        <f>'FY30'!BD72</f>
        <v>37126</v>
      </c>
      <c r="AR72" s="241">
        <f>'FY26'!BL72</f>
        <v>0</v>
      </c>
      <c r="AS72" s="241">
        <f>'FY27'!BL72</f>
        <v>0</v>
      </c>
      <c r="AT72" s="241">
        <f>'FY28'!BL72</f>
        <v>0</v>
      </c>
      <c r="AU72" s="241">
        <f>'FY29'!BL72</f>
        <v>0</v>
      </c>
      <c r="AV72" s="241">
        <f>'FY30'!BL72</f>
        <v>0</v>
      </c>
      <c r="AX72" s="241">
        <f>'FY26'!BT72</f>
        <v>2143731</v>
      </c>
      <c r="AY72" s="241">
        <f>'FY27'!BT72</f>
        <v>2106126</v>
      </c>
      <c r="AZ72" s="241">
        <f>'FY28'!BT72</f>
        <v>2142126</v>
      </c>
      <c r="BA72" s="241">
        <f>'FY29'!BT72</f>
        <v>2162126</v>
      </c>
      <c r="BB72" s="241">
        <f>'FY30'!BT72</f>
        <v>2182126</v>
      </c>
    </row>
    <row r="73" spans="1:54" x14ac:dyDescent="0.25">
      <c r="A73" s="201" t="s">
        <v>220</v>
      </c>
      <c r="B73" s="241">
        <f>'FY26'!H73</f>
        <v>157805</v>
      </c>
      <c r="C73" s="241">
        <f>'FY27'!H73</f>
        <v>157805</v>
      </c>
      <c r="D73" s="241">
        <f>'FY28'!H73</f>
        <v>151884</v>
      </c>
      <c r="E73" s="241">
        <f>'FY29'!H73</f>
        <v>151884</v>
      </c>
      <c r="F73" s="241">
        <f>'FY30'!H73</f>
        <v>151884</v>
      </c>
      <c r="H73" s="241">
        <f>'FY26'!P73</f>
        <v>450210</v>
      </c>
      <c r="I73" s="241">
        <f>'FY27'!P73</f>
        <v>450210</v>
      </c>
      <c r="J73" s="241">
        <f>'FY28'!P73</f>
        <v>411906</v>
      </c>
      <c r="K73" s="241">
        <f>'FY29'!P73</f>
        <v>411906</v>
      </c>
      <c r="L73" s="241">
        <f>'FY30'!P73</f>
        <v>411906</v>
      </c>
      <c r="N73" s="241">
        <f>'FY26'!X73</f>
        <v>128410</v>
      </c>
      <c r="O73" s="241">
        <f>'FY27'!X73</f>
        <v>128410</v>
      </c>
      <c r="P73" s="241">
        <f>'FY28'!X73</f>
        <v>168760</v>
      </c>
      <c r="Q73" s="241">
        <f>'FY29'!X73</f>
        <v>168760</v>
      </c>
      <c r="R73" s="241">
        <f>'FY30'!X73</f>
        <v>168760</v>
      </c>
      <c r="T73" s="241">
        <f>'FY26'!AF73</f>
        <v>170182</v>
      </c>
      <c r="U73" s="241">
        <f>'FY27'!AF73</f>
        <v>135182</v>
      </c>
      <c r="V73" s="241">
        <f>'FY28'!AF73</f>
        <v>196286</v>
      </c>
      <c r="W73" s="241">
        <f>'FY29'!AF73</f>
        <v>196286</v>
      </c>
      <c r="X73" s="241">
        <f>'FY30'!AF73</f>
        <v>196286</v>
      </c>
      <c r="Z73" s="241">
        <f>'FY26'!AN73</f>
        <v>326441</v>
      </c>
      <c r="AA73" s="241">
        <f>'FY27'!AN73</f>
        <v>326441</v>
      </c>
      <c r="AB73" s="241">
        <f>'FY28'!AN73</f>
        <v>416166</v>
      </c>
      <c r="AC73" s="241">
        <f>'FY29'!AN73</f>
        <v>416166</v>
      </c>
      <c r="AD73" s="241">
        <f>'FY30'!AN73</f>
        <v>416166</v>
      </c>
      <c r="AF73" s="241">
        <f>'FY26'!AV73</f>
        <v>0</v>
      </c>
      <c r="AG73" s="241">
        <f>'FY27'!AV73</f>
        <v>35000</v>
      </c>
      <c r="AH73" s="241">
        <f>'FY28'!AV73</f>
        <v>132058</v>
      </c>
      <c r="AI73" s="241">
        <f>'FY29'!AV73</f>
        <v>132058</v>
      </c>
      <c r="AJ73" s="241">
        <f>'FY30'!AV73</f>
        <v>152058</v>
      </c>
      <c r="AL73" s="241">
        <f>'FY26'!BD73</f>
        <v>15471</v>
      </c>
      <c r="AM73" s="241">
        <f>'FY27'!BD73</f>
        <v>15471</v>
      </c>
      <c r="AN73" s="241">
        <f>'FY28'!BD73</f>
        <v>22938</v>
      </c>
      <c r="AO73" s="241">
        <f>'FY29'!BD73</f>
        <v>22938</v>
      </c>
      <c r="AP73" s="241">
        <f>'FY30'!BD73</f>
        <v>22938</v>
      </c>
      <c r="AR73" s="241">
        <f>'FY26'!BL73</f>
        <v>0</v>
      </c>
      <c r="AS73" s="241">
        <f>'FY27'!BL73</f>
        <v>0</v>
      </c>
      <c r="AT73" s="241">
        <f>'FY28'!BL73</f>
        <v>0</v>
      </c>
      <c r="AU73" s="241">
        <f>'FY29'!BL73</f>
        <v>0</v>
      </c>
      <c r="AV73" s="241">
        <f>'FY30'!BL73</f>
        <v>0</v>
      </c>
      <c r="AX73" s="241">
        <f>'FY26'!BT73</f>
        <v>1248519</v>
      </c>
      <c r="AY73" s="241">
        <f>'FY27'!BT73</f>
        <v>1248519</v>
      </c>
      <c r="AZ73" s="241">
        <f>'FY28'!BT73</f>
        <v>1499998</v>
      </c>
      <c r="BA73" s="241">
        <f>'FY29'!BT73</f>
        <v>1499998</v>
      </c>
      <c r="BB73" s="241">
        <f>'FY30'!BT73</f>
        <v>1519998</v>
      </c>
    </row>
    <row r="74" spans="1:54" x14ac:dyDescent="0.25">
      <c r="A74" s="201" t="s">
        <v>221</v>
      </c>
      <c r="B74" s="241">
        <f>'FY26'!H74</f>
        <v>403200</v>
      </c>
      <c r="C74" s="241">
        <f>'FY27'!H74</f>
        <v>414400</v>
      </c>
      <c r="D74" s="241">
        <f>'FY28'!H74</f>
        <v>425600</v>
      </c>
      <c r="E74" s="241">
        <f>'FY29'!H74</f>
        <v>436800</v>
      </c>
      <c r="F74" s="241">
        <f>'FY30'!H74</f>
        <v>448000</v>
      </c>
      <c r="H74" s="241">
        <f>'FY26'!P74</f>
        <v>1026000</v>
      </c>
      <c r="I74" s="241">
        <f>'FY27'!P74</f>
        <v>1054500</v>
      </c>
      <c r="J74" s="241">
        <f>'FY28'!P74</f>
        <v>1083000</v>
      </c>
      <c r="K74" s="241">
        <f>'FY29'!P74</f>
        <v>1111500</v>
      </c>
      <c r="L74" s="241">
        <f>'FY30'!P74</f>
        <v>1140000</v>
      </c>
      <c r="N74" s="241">
        <f>'FY26'!X74</f>
        <v>288000</v>
      </c>
      <c r="O74" s="241">
        <f>'FY27'!X74</f>
        <v>296000</v>
      </c>
      <c r="P74" s="241">
        <f>'FY28'!X74</f>
        <v>304000</v>
      </c>
      <c r="Q74" s="241">
        <f>'FY29'!X74</f>
        <v>312000</v>
      </c>
      <c r="R74" s="241">
        <f>'FY30'!X74</f>
        <v>320000</v>
      </c>
      <c r="T74" s="241">
        <f>'FY26'!AF74</f>
        <v>360000</v>
      </c>
      <c r="U74" s="241">
        <f>'FY27'!AF74</f>
        <v>370000</v>
      </c>
      <c r="V74" s="241">
        <f>'FY28'!AF74</f>
        <v>380000</v>
      </c>
      <c r="W74" s="241">
        <f>'FY29'!AF74</f>
        <v>390000</v>
      </c>
      <c r="X74" s="241">
        <f>'FY30'!AF74</f>
        <v>400000</v>
      </c>
      <c r="Z74" s="241">
        <f>'FY26'!AN74</f>
        <v>709200</v>
      </c>
      <c r="AA74" s="241">
        <f>'FY27'!AN74</f>
        <v>758500</v>
      </c>
      <c r="AB74" s="241">
        <f>'FY28'!AN74</f>
        <v>817000</v>
      </c>
      <c r="AC74" s="241">
        <f>'FY29'!AN74</f>
        <v>838500</v>
      </c>
      <c r="AD74" s="241">
        <f>'FY30'!AN74</f>
        <v>860000</v>
      </c>
      <c r="AF74" s="241">
        <f>'FY26'!AV74</f>
        <v>100800</v>
      </c>
      <c r="AG74" s="241">
        <f>'FY27'!AV74</f>
        <v>129500</v>
      </c>
      <c r="AH74" s="241">
        <f>'FY28'!AV74</f>
        <v>319200</v>
      </c>
      <c r="AI74" s="241">
        <f>'FY29'!AV74</f>
        <v>374400</v>
      </c>
      <c r="AJ74" s="241">
        <f>'FY30'!AV74</f>
        <v>432000</v>
      </c>
      <c r="AL74" s="241">
        <f>'FY26'!BD74</f>
        <v>75600</v>
      </c>
      <c r="AM74" s="241">
        <f>'FY27'!BD74</f>
        <v>77700</v>
      </c>
      <c r="AN74" s="241">
        <f>'FY28'!BD74</f>
        <v>77700</v>
      </c>
      <c r="AO74" s="241">
        <f>'FY29'!BD74</f>
        <v>81900</v>
      </c>
      <c r="AP74" s="241">
        <f>'FY30'!BD74</f>
        <v>84000</v>
      </c>
      <c r="AR74" s="241">
        <f>'FY26'!BL74</f>
        <v>0</v>
      </c>
      <c r="AS74" s="241">
        <f>'FY27'!BL74</f>
        <v>0</v>
      </c>
      <c r="AT74" s="241">
        <f>'FY28'!BL74</f>
        <v>0</v>
      </c>
      <c r="AU74" s="241">
        <f>'FY29'!BL74</f>
        <v>0</v>
      </c>
      <c r="AV74" s="241">
        <f>'FY30'!BL74</f>
        <v>0</v>
      </c>
      <c r="AX74" s="241">
        <f>'FY26'!BT74</f>
        <v>2962800</v>
      </c>
      <c r="AY74" s="241">
        <f>'FY27'!BT74</f>
        <v>3100600</v>
      </c>
      <c r="AZ74" s="241">
        <f>'FY28'!BT74</f>
        <v>3406500</v>
      </c>
      <c r="BA74" s="241">
        <f>'FY29'!BT74</f>
        <v>3545100</v>
      </c>
      <c r="BB74" s="241">
        <f>'FY30'!BT74</f>
        <v>3684000</v>
      </c>
    </row>
    <row r="75" spans="1:54" x14ac:dyDescent="0.25">
      <c r="A75" s="201" t="s">
        <v>222</v>
      </c>
      <c r="B75" s="241">
        <f>'FY26'!H75</f>
        <v>109558</v>
      </c>
      <c r="C75" s="241">
        <f>'FY27'!H75</f>
        <v>109558</v>
      </c>
      <c r="D75" s="241">
        <f>'FY28'!H75</f>
        <v>109558</v>
      </c>
      <c r="E75" s="241">
        <f>'FY29'!H75</f>
        <v>109558</v>
      </c>
      <c r="F75" s="241">
        <f>'FY30'!H75</f>
        <v>109558</v>
      </c>
      <c r="H75" s="241">
        <f>'FY26'!P75</f>
        <v>278785</v>
      </c>
      <c r="I75" s="241">
        <f>'FY27'!P75</f>
        <v>278785</v>
      </c>
      <c r="J75" s="241">
        <f>'FY28'!P75</f>
        <v>278785</v>
      </c>
      <c r="K75" s="241">
        <f>'FY29'!P75</f>
        <v>278785</v>
      </c>
      <c r="L75" s="241">
        <f>'FY30'!P75</f>
        <v>278785</v>
      </c>
      <c r="N75" s="241">
        <f>'FY26'!X75</f>
        <v>78255</v>
      </c>
      <c r="O75" s="241">
        <f>'FY27'!X75</f>
        <v>78255</v>
      </c>
      <c r="P75" s="241">
        <f>'FY28'!X75</f>
        <v>78255</v>
      </c>
      <c r="Q75" s="241">
        <f>'FY29'!X75</f>
        <v>78255</v>
      </c>
      <c r="R75" s="241">
        <f>'FY30'!X75</f>
        <v>78255</v>
      </c>
      <c r="T75" s="241">
        <f>'FY26'!AF75</f>
        <v>97820</v>
      </c>
      <c r="U75" s="241">
        <f>'FY27'!AF75</f>
        <v>97820</v>
      </c>
      <c r="V75" s="241">
        <f>'FY28'!AF75</f>
        <v>97820</v>
      </c>
      <c r="W75" s="241">
        <f>'FY29'!AF75</f>
        <v>97820</v>
      </c>
      <c r="X75" s="241">
        <f>'FY30'!AF75</f>
        <v>97820</v>
      </c>
      <c r="Z75" s="241">
        <f>'FY26'!AN75</f>
        <v>192705</v>
      </c>
      <c r="AA75" s="241">
        <f>'FY27'!AN75</f>
        <v>192705</v>
      </c>
      <c r="AB75" s="241">
        <f>'FY28'!AN75</f>
        <v>192705</v>
      </c>
      <c r="AC75" s="241">
        <f>'FY29'!AN75</f>
        <v>192705</v>
      </c>
      <c r="AD75" s="241">
        <f>'FY30'!AN75</f>
        <v>192705</v>
      </c>
      <c r="AF75" s="241">
        <f>'FY26'!AV75</f>
        <v>27390</v>
      </c>
      <c r="AG75" s="241">
        <f>'FY27'!AV75</f>
        <v>27390</v>
      </c>
      <c r="AH75" s="241">
        <f>'FY28'!AV75</f>
        <v>27390</v>
      </c>
      <c r="AI75" s="241">
        <f>'FY29'!AV75</f>
        <v>27390</v>
      </c>
      <c r="AJ75" s="241">
        <f>'FY30'!AV75</f>
        <v>27390</v>
      </c>
      <c r="AL75" s="241">
        <f>'FY26'!BD75</f>
        <v>20542</v>
      </c>
      <c r="AM75" s="241">
        <f>'FY27'!BD75</f>
        <v>20542</v>
      </c>
      <c r="AN75" s="241">
        <f>'FY28'!BD75</f>
        <v>20542</v>
      </c>
      <c r="AO75" s="241">
        <f>'FY29'!BD75</f>
        <v>20542</v>
      </c>
      <c r="AP75" s="241">
        <f>'FY30'!BD75</f>
        <v>20542</v>
      </c>
      <c r="AR75" s="241">
        <f>'FY26'!BL75</f>
        <v>0</v>
      </c>
      <c r="AS75" s="241">
        <f>'FY27'!BL75</f>
        <v>0</v>
      </c>
      <c r="AT75" s="241">
        <f>'FY28'!BL75</f>
        <v>0</v>
      </c>
      <c r="AU75" s="241">
        <f>'FY29'!BL75</f>
        <v>0</v>
      </c>
      <c r="AV75" s="241">
        <f>'FY30'!BL75</f>
        <v>0</v>
      </c>
      <c r="AX75" s="241">
        <f>'FY26'!BT75</f>
        <v>805055</v>
      </c>
      <c r="AY75" s="241">
        <f>'FY27'!BT75</f>
        <v>805055</v>
      </c>
      <c r="AZ75" s="241">
        <f>'FY28'!BT75</f>
        <v>805055</v>
      </c>
      <c r="BA75" s="241">
        <f>'FY29'!BT75</f>
        <v>805055</v>
      </c>
      <c r="BB75" s="241">
        <f>'FY30'!BT75</f>
        <v>805055</v>
      </c>
    </row>
    <row r="76" spans="1:54" x14ac:dyDescent="0.25">
      <c r="A76" s="201" t="s">
        <v>223</v>
      </c>
      <c r="B76" s="241">
        <f>'FY26'!H76</f>
        <v>60000</v>
      </c>
      <c r="C76" s="241">
        <f>'FY27'!H76</f>
        <v>65000</v>
      </c>
      <c r="D76" s="241">
        <f>'FY28'!H76</f>
        <v>65000</v>
      </c>
      <c r="E76" s="241">
        <f>'FY29'!H76</f>
        <v>65000</v>
      </c>
      <c r="F76" s="241">
        <f>'FY30'!H76</f>
        <v>65000</v>
      </c>
      <c r="H76" s="241">
        <f>'FY26'!P76</f>
        <v>185000</v>
      </c>
      <c r="I76" s="241">
        <f>'FY27'!P76</f>
        <v>187500</v>
      </c>
      <c r="J76" s="241">
        <f>'FY28'!P76</f>
        <v>187500</v>
      </c>
      <c r="K76" s="241">
        <f>'FY29'!P76</f>
        <v>187500</v>
      </c>
      <c r="L76" s="241">
        <f>'FY30'!P76</f>
        <v>187500</v>
      </c>
      <c r="N76" s="241">
        <f>'FY26'!X76</f>
        <v>60000</v>
      </c>
      <c r="O76" s="241">
        <f>'FY27'!X76</f>
        <v>65000</v>
      </c>
      <c r="P76" s="241">
        <f>'FY28'!X76</f>
        <v>65000</v>
      </c>
      <c r="Q76" s="241">
        <f>'FY29'!X76</f>
        <v>65000</v>
      </c>
      <c r="R76" s="241">
        <f>'FY30'!X76</f>
        <v>65000</v>
      </c>
      <c r="T76" s="241">
        <f>'FY26'!AF76</f>
        <v>60000</v>
      </c>
      <c r="U76" s="241">
        <f>'FY27'!AF76</f>
        <v>65000</v>
      </c>
      <c r="V76" s="241">
        <f>'FY28'!AF76</f>
        <v>65000</v>
      </c>
      <c r="W76" s="241">
        <f>'FY29'!AF76</f>
        <v>65000</v>
      </c>
      <c r="X76" s="241">
        <f>'FY30'!AF76</f>
        <v>65000</v>
      </c>
      <c r="Z76" s="241">
        <f>'FY26'!AN76</f>
        <v>185000</v>
      </c>
      <c r="AA76" s="241">
        <f>'FY27'!AN76</f>
        <v>187500</v>
      </c>
      <c r="AB76" s="241">
        <f>'FY28'!AN76</f>
        <v>187500</v>
      </c>
      <c r="AC76" s="241">
        <f>'FY29'!AN76</f>
        <v>187500</v>
      </c>
      <c r="AD76" s="241">
        <f>'FY30'!AN76</f>
        <v>187500</v>
      </c>
      <c r="AF76" s="241">
        <f>'FY26'!AV76</f>
        <v>0</v>
      </c>
      <c r="AG76" s="241">
        <f>'FY27'!AV76</f>
        <v>30000</v>
      </c>
      <c r="AH76" s="241">
        <f>'FY28'!AV76</f>
        <v>30000</v>
      </c>
      <c r="AI76" s="241">
        <f>'FY29'!AV76</f>
        <v>30000</v>
      </c>
      <c r="AJ76" s="241">
        <f>'FY30'!AV76</f>
        <v>30000</v>
      </c>
      <c r="AL76" s="241">
        <f>'FY26'!BD76</f>
        <v>0</v>
      </c>
      <c r="AM76" s="241">
        <f>'FY27'!BD76</f>
        <v>0</v>
      </c>
      <c r="AN76" s="241">
        <f>'FY28'!BD76</f>
        <v>0</v>
      </c>
      <c r="AO76" s="241">
        <f>'FY29'!BD76</f>
        <v>0</v>
      </c>
      <c r="AP76" s="241">
        <f>'FY30'!BD76</f>
        <v>0</v>
      </c>
      <c r="AR76" s="241">
        <f>'FY26'!BL76</f>
        <v>660000</v>
      </c>
      <c r="AS76" s="241">
        <f>'FY27'!BL76</f>
        <v>660000</v>
      </c>
      <c r="AT76" s="241">
        <f>'FY28'!BL76</f>
        <v>660000</v>
      </c>
      <c r="AU76" s="241">
        <f>'FY29'!BL76</f>
        <v>660000</v>
      </c>
      <c r="AV76" s="241">
        <f>'FY30'!BL76</f>
        <v>660000</v>
      </c>
      <c r="AX76" s="241">
        <f>'FY26'!BT76</f>
        <v>1210000</v>
      </c>
      <c r="AY76" s="241">
        <f>'FY27'!BT76</f>
        <v>1260000</v>
      </c>
      <c r="AZ76" s="241">
        <f>'FY28'!BT76</f>
        <v>1260000</v>
      </c>
      <c r="BA76" s="241">
        <f>'FY29'!BT76</f>
        <v>1260000</v>
      </c>
      <c r="BB76" s="241">
        <f>'FY30'!BT76</f>
        <v>1260000</v>
      </c>
    </row>
    <row r="77" spans="1:54" x14ac:dyDescent="0.25">
      <c r="A77" s="201" t="s">
        <v>224</v>
      </c>
      <c r="B77" s="241">
        <f>'FY26'!H77</f>
        <v>95212</v>
      </c>
      <c r="C77" s="241">
        <f>'FY27'!H77</f>
        <v>95212</v>
      </c>
      <c r="D77" s="241">
        <f>'FY28'!H77</f>
        <v>97212</v>
      </c>
      <c r="E77" s="241">
        <f>'FY29'!H77</f>
        <v>97212</v>
      </c>
      <c r="F77" s="241">
        <f>'FY30'!H77</f>
        <v>97212</v>
      </c>
      <c r="H77" s="241">
        <f>'FY26'!P77</f>
        <v>49770</v>
      </c>
      <c r="I77" s="241">
        <f>'FY27'!P77</f>
        <v>49770</v>
      </c>
      <c r="J77" s="241">
        <f>'FY28'!P77</f>
        <v>49770</v>
      </c>
      <c r="K77" s="241">
        <f>'FY29'!P77</f>
        <v>49770</v>
      </c>
      <c r="L77" s="241">
        <f>'FY30'!P77</f>
        <v>49770</v>
      </c>
      <c r="N77" s="241">
        <f>'FY26'!X77</f>
        <v>0</v>
      </c>
      <c r="O77" s="241">
        <f>'FY27'!X77</f>
        <v>0</v>
      </c>
      <c r="P77" s="241">
        <f>'FY28'!X77</f>
        <v>0</v>
      </c>
      <c r="Q77" s="241">
        <f>'FY29'!X77</f>
        <v>0</v>
      </c>
      <c r="R77" s="241">
        <f>'FY30'!X77</f>
        <v>0</v>
      </c>
      <c r="T77" s="241">
        <f>'FY26'!AF77</f>
        <v>0</v>
      </c>
      <c r="U77" s="241">
        <f>'FY27'!AF77</f>
        <v>0</v>
      </c>
      <c r="V77" s="241">
        <f>'FY28'!AF77</f>
        <v>0</v>
      </c>
      <c r="W77" s="241">
        <f>'FY29'!AF77</f>
        <v>0</v>
      </c>
      <c r="X77" s="241">
        <f>'FY30'!AF77</f>
        <v>0</v>
      </c>
      <c r="Z77" s="241">
        <f>'FY26'!AN77</f>
        <v>0</v>
      </c>
      <c r="AA77" s="241">
        <f>'FY27'!AN77</f>
        <v>0</v>
      </c>
      <c r="AB77" s="241">
        <f>'FY28'!AN77</f>
        <v>0</v>
      </c>
      <c r="AC77" s="241">
        <f>'FY29'!AN77</f>
        <v>0</v>
      </c>
      <c r="AD77" s="241">
        <f>'FY30'!AN77</f>
        <v>0</v>
      </c>
      <c r="AF77" s="241">
        <f>'FY26'!AV77</f>
        <v>54920</v>
      </c>
      <c r="AG77" s="241">
        <f>'FY27'!AV77</f>
        <v>105000</v>
      </c>
      <c r="AH77" s="241">
        <f>'FY28'!AV77</f>
        <v>165000</v>
      </c>
      <c r="AI77" s="241">
        <f>'FY29'!AV77</f>
        <v>175000</v>
      </c>
      <c r="AJ77" s="241">
        <f>'FY30'!AV77</f>
        <v>177000</v>
      </c>
      <c r="AL77" s="241">
        <f>'FY26'!BD77</f>
        <v>23520</v>
      </c>
      <c r="AM77" s="241">
        <f>'FY27'!BD77</f>
        <v>23520</v>
      </c>
      <c r="AN77" s="241">
        <f>'FY28'!BD77</f>
        <v>23520</v>
      </c>
      <c r="AO77" s="241">
        <f>'FY29'!BD77</f>
        <v>23520</v>
      </c>
      <c r="AP77" s="241">
        <f>'FY30'!BD77</f>
        <v>23520</v>
      </c>
      <c r="AR77" s="241">
        <f>'FY26'!BL77</f>
        <v>747427</v>
      </c>
      <c r="AS77" s="241">
        <f>'FY27'!BL77</f>
        <v>747427</v>
      </c>
      <c r="AT77" s="241">
        <f>'FY28'!BL77</f>
        <v>747427</v>
      </c>
      <c r="AU77" s="241">
        <f>'FY29'!BL77</f>
        <v>747427</v>
      </c>
      <c r="AV77" s="241">
        <f>'FY30'!BL77</f>
        <v>747427</v>
      </c>
      <c r="AX77" s="241">
        <f>'FY26'!BT77</f>
        <v>970849</v>
      </c>
      <c r="AY77" s="241">
        <f>'FY27'!BT77</f>
        <v>1020929</v>
      </c>
      <c r="AZ77" s="241">
        <f>'FY28'!BT77</f>
        <v>1082929</v>
      </c>
      <c r="BA77" s="241">
        <f>'FY29'!BT77</f>
        <v>1092929</v>
      </c>
      <c r="BB77" s="241">
        <f>'FY30'!BT77</f>
        <v>1094929</v>
      </c>
    </row>
    <row r="78" spans="1:54" x14ac:dyDescent="0.25">
      <c r="A78" s="201" t="s">
        <v>225</v>
      </c>
      <c r="B78" s="241">
        <f>'FY26'!H78</f>
        <v>0</v>
      </c>
      <c r="C78" s="241">
        <f>'FY27'!H78</f>
        <v>0</v>
      </c>
      <c r="D78" s="241">
        <f>'FY28'!H78</f>
        <v>0</v>
      </c>
      <c r="E78" s="241">
        <f>'FY29'!H78</f>
        <v>0</v>
      </c>
      <c r="F78" s="241">
        <f>'FY30'!H78</f>
        <v>0</v>
      </c>
      <c r="H78" s="241">
        <f>'FY26'!P78</f>
        <v>112000</v>
      </c>
      <c r="I78" s="241">
        <f>'FY27'!P78</f>
        <v>145600</v>
      </c>
      <c r="J78" s="241">
        <f>'FY28'!P78</f>
        <v>145600</v>
      </c>
      <c r="K78" s="241">
        <f>'FY29'!P78</f>
        <v>145600</v>
      </c>
      <c r="L78" s="241">
        <f>'FY30'!P78</f>
        <v>145600</v>
      </c>
      <c r="N78" s="241">
        <f>'FY26'!X78</f>
        <v>0</v>
      </c>
      <c r="O78" s="241">
        <f>'FY27'!X78</f>
        <v>0</v>
      </c>
      <c r="P78" s="241">
        <f>'FY28'!X78</f>
        <v>0</v>
      </c>
      <c r="Q78" s="241">
        <f>'FY29'!X78</f>
        <v>0</v>
      </c>
      <c r="R78" s="241">
        <f>'FY30'!X78</f>
        <v>0</v>
      </c>
      <c r="T78" s="241">
        <f>'FY26'!AF78</f>
        <v>0</v>
      </c>
      <c r="U78" s="241">
        <f>'FY27'!AF78</f>
        <v>0</v>
      </c>
      <c r="V78" s="241">
        <f>'FY28'!AF78</f>
        <v>0</v>
      </c>
      <c r="W78" s="241">
        <f>'FY29'!AF78</f>
        <v>0</v>
      </c>
      <c r="X78" s="241">
        <f>'FY30'!AF78</f>
        <v>0</v>
      </c>
      <c r="Z78" s="241">
        <f>'FY26'!AN78</f>
        <v>0</v>
      </c>
      <c r="AA78" s="241">
        <f>'FY27'!AN78</f>
        <v>0</v>
      </c>
      <c r="AB78" s="241">
        <f>'FY28'!AN78</f>
        <v>0</v>
      </c>
      <c r="AC78" s="241">
        <f>'FY29'!AN78</f>
        <v>0</v>
      </c>
      <c r="AD78" s="241">
        <f>'FY30'!AN78</f>
        <v>0</v>
      </c>
      <c r="AF78" s="241">
        <f>'FY26'!AV78</f>
        <v>0</v>
      </c>
      <c r="AG78" s="241">
        <f>'FY27'!AV78</f>
        <v>0</v>
      </c>
      <c r="AH78" s="241">
        <f>'FY28'!AV78</f>
        <v>0</v>
      </c>
      <c r="AI78" s="241">
        <f>'FY29'!AV78</f>
        <v>0</v>
      </c>
      <c r="AJ78" s="241">
        <f>'FY30'!AV78</f>
        <v>0</v>
      </c>
      <c r="AL78" s="241">
        <f>'FY26'!BD78</f>
        <v>0</v>
      </c>
      <c r="AM78" s="241">
        <f>'FY27'!BD78</f>
        <v>0</v>
      </c>
      <c r="AN78" s="241">
        <f>'FY28'!BD78</f>
        <v>0</v>
      </c>
      <c r="AO78" s="241">
        <f>'FY29'!BD78</f>
        <v>0</v>
      </c>
      <c r="AP78" s="241">
        <f>'FY30'!BD78</f>
        <v>0</v>
      </c>
      <c r="AR78" s="241">
        <f>'FY26'!BL78</f>
        <v>639741</v>
      </c>
      <c r="AS78" s="241">
        <f>'FY27'!BL78</f>
        <v>0</v>
      </c>
      <c r="AT78" s="241">
        <f>'FY28'!BL78</f>
        <v>0</v>
      </c>
      <c r="AU78" s="241">
        <f>'FY29'!BL78</f>
        <v>0</v>
      </c>
      <c r="AV78" s="241">
        <f>'FY30'!BL78</f>
        <v>0</v>
      </c>
      <c r="AX78" s="241">
        <f>'FY26'!BT78</f>
        <v>751741</v>
      </c>
      <c r="AY78" s="241">
        <f>'FY27'!BT78</f>
        <v>145600</v>
      </c>
      <c r="AZ78" s="241">
        <f>'FY28'!BT78</f>
        <v>145600</v>
      </c>
      <c r="BA78" s="241">
        <f>'FY29'!BT78</f>
        <v>145600</v>
      </c>
      <c r="BB78" s="241">
        <f>'FY30'!BT78</f>
        <v>145600</v>
      </c>
    </row>
    <row r="79" spans="1:54" x14ac:dyDescent="0.25">
      <c r="A79" s="201" t="s">
        <v>226</v>
      </c>
      <c r="B79" s="241">
        <f>'FY26'!H79</f>
        <v>300000</v>
      </c>
      <c r="C79" s="241">
        <f>'FY27'!H79</f>
        <v>300000</v>
      </c>
      <c r="D79" s="241">
        <f>'FY28'!H79</f>
        <v>300000</v>
      </c>
      <c r="E79" s="241">
        <f>'FY29'!H79</f>
        <v>300000</v>
      </c>
      <c r="F79" s="241">
        <f>'FY30'!H79</f>
        <v>300000</v>
      </c>
      <c r="H79" s="241">
        <f>'FY26'!P79</f>
        <v>1500000</v>
      </c>
      <c r="I79" s="241">
        <f>'FY27'!P79</f>
        <v>1500000</v>
      </c>
      <c r="J79" s="241">
        <f>'FY28'!P79</f>
        <v>1500000</v>
      </c>
      <c r="K79" s="241">
        <f>'FY29'!P79</f>
        <v>1500000</v>
      </c>
      <c r="L79" s="241">
        <f>'FY30'!P79</f>
        <v>1500000</v>
      </c>
      <c r="N79" s="241">
        <f>'FY26'!X79</f>
        <v>850000</v>
      </c>
      <c r="O79" s="241">
        <f>'FY27'!X79</f>
        <v>850000</v>
      </c>
      <c r="P79" s="241">
        <f>'FY28'!X79</f>
        <v>850000</v>
      </c>
      <c r="Q79" s="241">
        <f>'FY29'!X79</f>
        <v>850000</v>
      </c>
      <c r="R79" s="241">
        <f>'FY30'!X79</f>
        <v>850000</v>
      </c>
      <c r="T79" s="241">
        <f>'FY26'!AF79</f>
        <v>900000</v>
      </c>
      <c r="U79" s="241">
        <f>'FY27'!AF79</f>
        <v>900000</v>
      </c>
      <c r="V79" s="241">
        <f>'FY28'!AF79</f>
        <v>900000</v>
      </c>
      <c r="W79" s="241">
        <f>'FY29'!AF79</f>
        <v>900000</v>
      </c>
      <c r="X79" s="241">
        <f>'FY30'!AF79</f>
        <v>900000</v>
      </c>
      <c r="Z79" s="241">
        <f>'FY26'!AN79</f>
        <v>2500000</v>
      </c>
      <c r="AA79" s="241">
        <f>'FY27'!AN79</f>
        <v>2500000</v>
      </c>
      <c r="AB79" s="241">
        <f>'FY28'!AN79</f>
        <v>2500000</v>
      </c>
      <c r="AC79" s="241">
        <f>'FY29'!AN79</f>
        <v>2500000</v>
      </c>
      <c r="AD79" s="241">
        <f>'FY30'!AN79</f>
        <v>2500000</v>
      </c>
      <c r="AF79" s="241">
        <f>'FY26'!AV79</f>
        <v>100000</v>
      </c>
      <c r="AG79" s="241">
        <f>'FY27'!AV79</f>
        <v>100000</v>
      </c>
      <c r="AH79" s="241">
        <f>'FY28'!AV79</f>
        <v>100000</v>
      </c>
      <c r="AI79" s="241">
        <f>'FY29'!AV79</f>
        <v>100000</v>
      </c>
      <c r="AJ79" s="241">
        <f>'FY30'!AV79</f>
        <v>100000</v>
      </c>
      <c r="AL79" s="241">
        <f>'FY26'!BD79</f>
        <v>25000</v>
      </c>
      <c r="AM79" s="241">
        <f>'FY27'!BD79</f>
        <v>25000</v>
      </c>
      <c r="AN79" s="241">
        <f>'FY28'!BD79</f>
        <v>25000</v>
      </c>
      <c r="AO79" s="241">
        <f>'FY29'!BD79</f>
        <v>25000</v>
      </c>
      <c r="AP79" s="241">
        <f>'FY30'!BD79</f>
        <v>25000</v>
      </c>
      <c r="AR79" s="241">
        <f>'FY26'!BL79</f>
        <v>0</v>
      </c>
      <c r="AS79" s="241">
        <f>'FY27'!BL79</f>
        <v>0</v>
      </c>
      <c r="AT79" s="241">
        <f>'FY28'!BL79</f>
        <v>0</v>
      </c>
      <c r="AU79" s="241">
        <f>'FY29'!BL79</f>
        <v>0</v>
      </c>
      <c r="AV79" s="241">
        <f>'FY30'!BL79</f>
        <v>0</v>
      </c>
      <c r="AX79" s="241">
        <f>'FY26'!BT79</f>
        <v>6175000</v>
      </c>
      <c r="AY79" s="241">
        <f>'FY27'!BT79</f>
        <v>6175000</v>
      </c>
      <c r="AZ79" s="241">
        <f>'FY28'!BT79</f>
        <v>6175000</v>
      </c>
      <c r="BA79" s="241">
        <f>'FY29'!BT79</f>
        <v>6175000</v>
      </c>
      <c r="BB79" s="241">
        <f>'FY30'!BT79</f>
        <v>6175000</v>
      </c>
    </row>
    <row r="80" spans="1:54" x14ac:dyDescent="0.25">
      <c r="A80" s="201" t="s">
        <v>227</v>
      </c>
      <c r="B80" s="241">
        <f>'FY26'!H80</f>
        <v>53325</v>
      </c>
      <c r="C80" s="241">
        <f>'FY27'!H80</f>
        <v>54450</v>
      </c>
      <c r="D80" s="241">
        <f>'FY28'!H80</f>
        <v>55575</v>
      </c>
      <c r="E80" s="241">
        <f>'FY29'!H80</f>
        <v>56700</v>
      </c>
      <c r="F80" s="241">
        <f>'FY30'!H80</f>
        <v>57825</v>
      </c>
      <c r="H80" s="241">
        <f>'FY26'!P80</f>
        <v>85320</v>
      </c>
      <c r="I80" s="241">
        <f>'FY27'!P80</f>
        <v>87120</v>
      </c>
      <c r="J80" s="241">
        <f>'FY28'!P80</f>
        <v>88920.000000000015</v>
      </c>
      <c r="K80" s="241">
        <f>'FY29'!P80</f>
        <v>90720</v>
      </c>
      <c r="L80" s="241">
        <f>'FY30'!P80</f>
        <v>92520</v>
      </c>
      <c r="N80" s="241">
        <f>'FY26'!X80</f>
        <v>0</v>
      </c>
      <c r="O80" s="241">
        <f>'FY27'!X80</f>
        <v>0</v>
      </c>
      <c r="P80" s="241">
        <f>'FY28'!X80</f>
        <v>0</v>
      </c>
      <c r="Q80" s="241">
        <f>'FY29'!X80</f>
        <v>0</v>
      </c>
      <c r="R80" s="241">
        <f>'FY30'!X80</f>
        <v>0</v>
      </c>
      <c r="T80" s="241">
        <f>'FY26'!AF80</f>
        <v>0</v>
      </c>
      <c r="U80" s="241">
        <f>'FY27'!AF80</f>
        <v>0</v>
      </c>
      <c r="V80" s="241">
        <f>'FY28'!AF80</f>
        <v>0</v>
      </c>
      <c r="W80" s="241">
        <f>'FY29'!AF80</f>
        <v>0</v>
      </c>
      <c r="X80" s="241">
        <f>'FY30'!AF80</f>
        <v>0</v>
      </c>
      <c r="Z80" s="241">
        <f>'FY26'!AN80</f>
        <v>0</v>
      </c>
      <c r="AA80" s="241">
        <f>'FY27'!AN80</f>
        <v>0</v>
      </c>
      <c r="AB80" s="241">
        <f>'FY28'!AN80</f>
        <v>0</v>
      </c>
      <c r="AC80" s="241">
        <f>'FY29'!AN80</f>
        <v>0</v>
      </c>
      <c r="AD80" s="241">
        <f>'FY30'!AN80</f>
        <v>0</v>
      </c>
      <c r="AF80" s="241">
        <f>'FY26'!AV80</f>
        <v>27367.200000000001</v>
      </c>
      <c r="AG80" s="241">
        <f>'FY27'!AV80</f>
        <v>95817.600000000006</v>
      </c>
      <c r="AH80" s="241">
        <f>'FY28'!AV80</f>
        <v>97977.60000000002</v>
      </c>
      <c r="AI80" s="241">
        <f>'FY29'!AV80</f>
        <v>95817.600000000006</v>
      </c>
      <c r="AJ80" s="241">
        <f>'FY30'!AV80</f>
        <v>98193.60000000002</v>
      </c>
      <c r="AL80" s="241">
        <f>'FY26'!BD80</f>
        <v>0</v>
      </c>
      <c r="AM80" s="241">
        <f>'FY27'!BD80</f>
        <v>0</v>
      </c>
      <c r="AN80" s="241">
        <f>'FY28'!BD80</f>
        <v>0</v>
      </c>
      <c r="AO80" s="241">
        <f>'FY29'!BD80</f>
        <v>0</v>
      </c>
      <c r="AP80" s="241">
        <f>'FY30'!BD80</f>
        <v>0</v>
      </c>
      <c r="AR80" s="241">
        <f>'FY26'!BL80</f>
        <v>0</v>
      </c>
      <c r="AS80" s="241">
        <f>'FY27'!BL80</f>
        <v>0</v>
      </c>
      <c r="AT80" s="241">
        <f>'FY28'!BL80</f>
        <v>0</v>
      </c>
      <c r="AU80" s="241">
        <f>'FY29'!BL80</f>
        <v>0</v>
      </c>
      <c r="AV80" s="241">
        <f>'FY30'!BL80</f>
        <v>0</v>
      </c>
      <c r="AX80" s="241">
        <f>'FY26'!BT80</f>
        <v>166012.20000000001</v>
      </c>
      <c r="AY80" s="241">
        <f>'FY27'!BT80</f>
        <v>237387.6</v>
      </c>
      <c r="AZ80" s="241">
        <f>'FY28'!BT80</f>
        <v>242472.60000000003</v>
      </c>
      <c r="BA80" s="241">
        <f>'FY29'!BT80</f>
        <v>243237.6</v>
      </c>
      <c r="BB80" s="241">
        <f>'FY30'!BT80</f>
        <v>248538.60000000003</v>
      </c>
    </row>
    <row r="81" spans="1:54" x14ac:dyDescent="0.25">
      <c r="A81" s="202" t="s">
        <v>228</v>
      </c>
      <c r="B81" s="241">
        <f>'FY26'!H81</f>
        <v>204254.99999999997</v>
      </c>
      <c r="C81" s="241">
        <f>'FY27'!H81</f>
        <v>204255</v>
      </c>
      <c r="D81" s="241">
        <f>'FY28'!H81</f>
        <v>206505</v>
      </c>
      <c r="E81" s="241">
        <f>'FY29'!H81</f>
        <v>208755</v>
      </c>
      <c r="F81" s="241">
        <f>'FY30'!H81</f>
        <v>211005</v>
      </c>
      <c r="H81" s="241">
        <f>'FY26'!P81</f>
        <v>422955</v>
      </c>
      <c r="I81" s="241">
        <f>'FY27'!P81</f>
        <v>427680</v>
      </c>
      <c r="J81" s="241">
        <f>'FY28'!P81</f>
        <v>432405</v>
      </c>
      <c r="K81" s="241">
        <f>'FY29'!P81</f>
        <v>437130</v>
      </c>
      <c r="L81" s="241">
        <f>'FY30'!P81</f>
        <v>441855</v>
      </c>
      <c r="N81" s="241">
        <f>'FY26'!X81</f>
        <v>137727</v>
      </c>
      <c r="O81" s="241">
        <f>'FY27'!X81</f>
        <v>139212</v>
      </c>
      <c r="P81" s="241">
        <f>'FY28'!X81</f>
        <v>140697</v>
      </c>
      <c r="Q81" s="241">
        <f>'FY29'!X81</f>
        <v>142182</v>
      </c>
      <c r="R81" s="241">
        <f>'FY30'!X81</f>
        <v>143667</v>
      </c>
      <c r="T81" s="241">
        <f>'FY26'!AF81</f>
        <v>90928.799999999988</v>
      </c>
      <c r="U81" s="241">
        <f>'FY27'!AF81</f>
        <v>91873.799999999988</v>
      </c>
      <c r="V81" s="241">
        <f>'FY28'!AF81</f>
        <v>92818.8</v>
      </c>
      <c r="W81" s="241">
        <f>'FY29'!AF81</f>
        <v>93763.8</v>
      </c>
      <c r="X81" s="241">
        <f>'FY30'!AF81</f>
        <v>94708.799999999988</v>
      </c>
      <c r="Z81" s="241">
        <f>'FY26'!AN81</f>
        <v>234295.2</v>
      </c>
      <c r="AA81" s="241">
        <f>'FY27'!AN81</f>
        <v>236770.2</v>
      </c>
      <c r="AB81" s="241">
        <f>'FY28'!AN81</f>
        <v>239245.19999999998</v>
      </c>
      <c r="AC81" s="241">
        <f>'FY29'!AN81</f>
        <v>241720.2</v>
      </c>
      <c r="AD81" s="241">
        <f>'FY30'!AN81</f>
        <v>244195.19999999998</v>
      </c>
      <c r="AF81" s="241">
        <f>'FY26'!AV81</f>
        <v>129748.5</v>
      </c>
      <c r="AG81" s="241">
        <f>'FY27'!AV81</f>
        <v>442429.2</v>
      </c>
      <c r="AH81" s="241">
        <f>'FY28'!AV81</f>
        <v>442429.2</v>
      </c>
      <c r="AI81" s="241">
        <f>'FY29'!AV81</f>
        <v>442429.2</v>
      </c>
      <c r="AJ81" s="241">
        <f>'FY30'!AV81</f>
        <v>442429.2</v>
      </c>
      <c r="AL81" s="241">
        <f>'FY26'!BD81</f>
        <v>0</v>
      </c>
      <c r="AM81" s="241">
        <f>'FY27'!BD81</f>
        <v>0</v>
      </c>
      <c r="AN81" s="241">
        <f>'FY28'!BD81</f>
        <v>0</v>
      </c>
      <c r="AO81" s="241">
        <f>'FY29'!BD81</f>
        <v>0</v>
      </c>
      <c r="AP81" s="241">
        <f>'FY30'!BD81</f>
        <v>0</v>
      </c>
      <c r="AR81" s="241">
        <f>'FY26'!BL81</f>
        <v>0</v>
      </c>
      <c r="AS81" s="241">
        <f>'FY27'!BL81</f>
        <v>0</v>
      </c>
      <c r="AT81" s="241">
        <f>'FY28'!BL81</f>
        <v>0</v>
      </c>
      <c r="AU81" s="241">
        <f>'FY29'!BL81</f>
        <v>0</v>
      </c>
      <c r="AV81" s="241">
        <f>'FY30'!BL81</f>
        <v>0</v>
      </c>
      <c r="AX81" s="241">
        <f>'FY26'!BT81</f>
        <v>1219909.5</v>
      </c>
      <c r="AY81" s="241">
        <f>'FY27'!BT81</f>
        <v>1542220.2</v>
      </c>
      <c r="AZ81" s="241">
        <f>'FY28'!BT81</f>
        <v>1554100.2</v>
      </c>
      <c r="BA81" s="241">
        <f>'FY29'!BT81</f>
        <v>1565980.2</v>
      </c>
      <c r="BB81" s="241">
        <f>'FY30'!BT81</f>
        <v>1577860.2</v>
      </c>
    </row>
    <row r="82" spans="1:54" x14ac:dyDescent="0.25">
      <c r="A82" s="203"/>
      <c r="B82" s="246">
        <f>'FY26'!H82</f>
        <v>10397538</v>
      </c>
      <c r="C82" s="246">
        <f>'FY27'!H82</f>
        <v>10697571</v>
      </c>
      <c r="D82" s="246">
        <f>'FY28'!H82</f>
        <v>10845602</v>
      </c>
      <c r="E82" s="246">
        <f>'FY29'!H82</f>
        <v>10998428</v>
      </c>
      <c r="F82" s="246">
        <f>'FY30'!H82</f>
        <v>11156052</v>
      </c>
      <c r="H82" s="246">
        <f>'FY26'!P82</f>
        <v>28575336</v>
      </c>
      <c r="I82" s="246">
        <f>'FY27'!P82</f>
        <v>29279739</v>
      </c>
      <c r="J82" s="246">
        <f>'FY28'!P82</f>
        <v>29648311</v>
      </c>
      <c r="K82" s="246">
        <f>'FY29'!P82</f>
        <v>30057546</v>
      </c>
      <c r="L82" s="246">
        <f>'FY30'!P82</f>
        <v>30479836</v>
      </c>
      <c r="N82" s="246">
        <f>'FY26'!X82</f>
        <v>11657285</v>
      </c>
      <c r="O82" s="246">
        <f>'FY27'!X82</f>
        <v>11764181</v>
      </c>
      <c r="P82" s="246">
        <f>'FY28'!X82</f>
        <v>11965246</v>
      </c>
      <c r="Q82" s="246">
        <f>'FY29'!X82</f>
        <v>12127184</v>
      </c>
      <c r="R82" s="246">
        <f>'FY30'!X82</f>
        <v>12294273</v>
      </c>
      <c r="T82" s="246">
        <f>'FY26'!AF82</f>
        <v>13360370.800000001</v>
      </c>
      <c r="U82" s="246">
        <f>'FY27'!AF82</f>
        <v>13552129.800000001</v>
      </c>
      <c r="V82" s="246">
        <f>'FY28'!AF82</f>
        <v>13800316.800000001</v>
      </c>
      <c r="W82" s="246">
        <f>'FY29'!AF82</f>
        <v>13988765.800000001</v>
      </c>
      <c r="X82" s="246">
        <f>'FY30'!AF82</f>
        <v>14179032.800000001</v>
      </c>
      <c r="Z82" s="246">
        <f>'FY26'!AN82</f>
        <v>27924388.199999999</v>
      </c>
      <c r="AA82" s="246">
        <f>'FY27'!AN82</f>
        <v>29041931.199999999</v>
      </c>
      <c r="AB82" s="246">
        <f>'FY28'!AN82</f>
        <v>29965232.199999999</v>
      </c>
      <c r="AC82" s="246">
        <f>'FY29'!AN82</f>
        <v>30053323.199999999</v>
      </c>
      <c r="AD82" s="246">
        <f>'FY30'!AN82</f>
        <v>30462355.199999999</v>
      </c>
      <c r="AF82" s="246">
        <f>'FY26'!AV82</f>
        <v>4175567.7</v>
      </c>
      <c r="AG82" s="246">
        <f>'FY27'!AV82</f>
        <v>7814381.7999999998</v>
      </c>
      <c r="AH82" s="246">
        <f>'FY28'!AV82</f>
        <v>9702019.7999999989</v>
      </c>
      <c r="AI82" s="246">
        <f>'FY29'!AV82</f>
        <v>10929772.799999999</v>
      </c>
      <c r="AJ82" s="246">
        <f>'FY30'!AV82</f>
        <v>11283660.799999999</v>
      </c>
      <c r="AL82" s="246">
        <f>'FY26'!BD82</f>
        <v>1530557</v>
      </c>
      <c r="AM82" s="246">
        <f>'FY27'!BD82</f>
        <v>1983691</v>
      </c>
      <c r="AN82" s="246">
        <f>'FY28'!BD82</f>
        <v>2018719</v>
      </c>
      <c r="AO82" s="246">
        <f>'FY29'!BD82</f>
        <v>2050189</v>
      </c>
      <c r="AP82" s="246">
        <f>'FY30'!BD82</f>
        <v>2080518</v>
      </c>
      <c r="AR82" s="246">
        <f>'FY26'!BL82</f>
        <v>2047168</v>
      </c>
      <c r="AS82" s="246">
        <f>'FY27'!BL82</f>
        <v>1407427</v>
      </c>
      <c r="AT82" s="246">
        <f>'FY28'!BL82</f>
        <v>1407427</v>
      </c>
      <c r="AU82" s="246">
        <f>'FY29'!BL82</f>
        <v>1407427</v>
      </c>
      <c r="AV82" s="246">
        <f>'FY30'!BL82</f>
        <v>1407427</v>
      </c>
      <c r="AX82" s="246">
        <f>'FY26'!BT82</f>
        <v>99668210.700000003</v>
      </c>
      <c r="AY82" s="246">
        <f>'FY27'!BT82</f>
        <v>105541051.8</v>
      </c>
      <c r="AZ82" s="246">
        <f>'FY28'!BT82</f>
        <v>109352873.8</v>
      </c>
      <c r="BA82" s="246">
        <f>'FY29'!BT82</f>
        <v>111612635.8</v>
      </c>
      <c r="BB82" s="246">
        <f>'FY30'!BT82</f>
        <v>113343154.8</v>
      </c>
    </row>
    <row r="83" spans="1:54" x14ac:dyDescent="0.25">
      <c r="B83" s="116">
        <f>'FY26'!H83</f>
        <v>0</v>
      </c>
      <c r="C83" s="116">
        <f>'FY27'!H83</f>
        <v>0</v>
      </c>
      <c r="D83" s="116">
        <f>'FY28'!H83</f>
        <v>0</v>
      </c>
      <c r="E83" s="116">
        <f>'FY29'!H83</f>
        <v>0</v>
      </c>
      <c r="F83" s="116">
        <f>'FY30'!H83</f>
        <v>0</v>
      </c>
      <c r="H83" s="116">
        <f>'FY26'!P83</f>
        <v>0</v>
      </c>
      <c r="I83" s="116">
        <f>'FY27'!P83</f>
        <v>0</v>
      </c>
      <c r="J83" s="116">
        <f>'FY28'!P83</f>
        <v>0</v>
      </c>
      <c r="K83" s="116">
        <f>'FY29'!P83</f>
        <v>0</v>
      </c>
      <c r="L83" s="116">
        <f>'FY30'!P83</f>
        <v>0</v>
      </c>
      <c r="N83" s="116">
        <f>'FY26'!X83</f>
        <v>0</v>
      </c>
      <c r="O83" s="116">
        <f>'FY27'!X83</f>
        <v>0</v>
      </c>
      <c r="P83" s="116">
        <f>'FY28'!X83</f>
        <v>0</v>
      </c>
      <c r="Q83" s="116">
        <f>'FY29'!X83</f>
        <v>0</v>
      </c>
      <c r="R83" s="116">
        <f>'FY30'!X83</f>
        <v>0</v>
      </c>
      <c r="T83" s="116">
        <f>'FY26'!AF83</f>
        <v>0</v>
      </c>
      <c r="U83" s="116">
        <f>'FY27'!AF83</f>
        <v>0</v>
      </c>
      <c r="V83" s="116">
        <f>'FY28'!AF83</f>
        <v>0</v>
      </c>
      <c r="W83" s="116">
        <f>'FY29'!AF83</f>
        <v>0</v>
      </c>
      <c r="X83" s="116">
        <f>'FY30'!AF83</f>
        <v>0</v>
      </c>
      <c r="Z83" s="116">
        <f>'FY26'!AN83</f>
        <v>0</v>
      </c>
      <c r="AA83" s="116">
        <f>'FY27'!AN83</f>
        <v>0</v>
      </c>
      <c r="AB83" s="116">
        <f>'FY28'!AN83</f>
        <v>0</v>
      </c>
      <c r="AC83" s="116">
        <f>'FY29'!AN83</f>
        <v>0</v>
      </c>
      <c r="AD83" s="116">
        <f>'FY30'!AN83</f>
        <v>0</v>
      </c>
      <c r="AF83" s="116">
        <f>'FY26'!AV83</f>
        <v>0</v>
      </c>
      <c r="AG83" s="116">
        <f>'FY27'!AV83</f>
        <v>0</v>
      </c>
      <c r="AH83" s="116">
        <f>'FY28'!AV83</f>
        <v>0</v>
      </c>
      <c r="AI83" s="116">
        <f>'FY29'!AV83</f>
        <v>0</v>
      </c>
      <c r="AJ83" s="116">
        <f>'FY30'!AV83</f>
        <v>0</v>
      </c>
      <c r="AL83" s="116">
        <f>'FY26'!BD83</f>
        <v>0</v>
      </c>
      <c r="AM83" s="116">
        <f>'FY27'!BD83</f>
        <v>0</v>
      </c>
      <c r="AN83" s="116">
        <f>'FY28'!BD83</f>
        <v>0</v>
      </c>
      <c r="AO83" s="116">
        <f>'FY29'!BD83</f>
        <v>0</v>
      </c>
      <c r="AP83" s="116">
        <f>'FY30'!BD83</f>
        <v>0</v>
      </c>
      <c r="AR83" s="116">
        <f>'FY26'!BL83</f>
        <v>0</v>
      </c>
      <c r="AS83" s="116">
        <f>'FY27'!BL83</f>
        <v>0</v>
      </c>
      <c r="AT83" s="116">
        <f>'FY28'!BL83</f>
        <v>0</v>
      </c>
      <c r="AU83" s="116">
        <f>'FY29'!BL83</f>
        <v>0</v>
      </c>
      <c r="AV83" s="116">
        <f>'FY30'!BL83</f>
        <v>0</v>
      </c>
      <c r="AX83" s="116">
        <f>'FY26'!BT83</f>
        <v>0</v>
      </c>
      <c r="AY83" s="116">
        <f>'FY27'!BT83</f>
        <v>0</v>
      </c>
      <c r="AZ83" s="116">
        <f>'FY28'!BT83</f>
        <v>0</v>
      </c>
      <c r="BA83" s="116">
        <f>'FY29'!BT83</f>
        <v>0</v>
      </c>
      <c r="BB83" s="116">
        <f>'FY30'!BT83</f>
        <v>0</v>
      </c>
    </row>
    <row r="84" spans="1:54" x14ac:dyDescent="0.25">
      <c r="A84" s="204"/>
      <c r="B84" s="247" t="str">
        <f>'FY26'!H84</f>
        <v>Total</v>
      </c>
      <c r="C84" s="247" t="str">
        <f>'FY27'!H84</f>
        <v>Horizon</v>
      </c>
      <c r="D84" s="247" t="str">
        <f>'FY28'!H84</f>
        <v>Horizon</v>
      </c>
      <c r="E84" s="247" t="str">
        <f>'FY29'!H84</f>
        <v>Horizon</v>
      </c>
      <c r="F84" s="247" t="str">
        <f>'FY30'!H84</f>
        <v>Horizon</v>
      </c>
      <c r="H84" s="247" t="str">
        <f>'FY26'!P84</f>
        <v>Cadence</v>
      </c>
      <c r="I84" s="247" t="str">
        <f>'FY27'!P84</f>
        <v>Cadence</v>
      </c>
      <c r="J84" s="247" t="str">
        <f>'FY28'!P84</f>
        <v>Cadence</v>
      </c>
      <c r="K84" s="247" t="str">
        <f>'FY29'!P84</f>
        <v>Cadence</v>
      </c>
      <c r="L84" s="247" t="str">
        <f>'FY30'!P84</f>
        <v>Cadence</v>
      </c>
      <c r="N84" s="247" t="str">
        <f>'FY26'!X84</f>
        <v>St. Rose</v>
      </c>
      <c r="O84" s="247" t="str">
        <f>'FY27'!X84</f>
        <v>St. Rose</v>
      </c>
      <c r="P84" s="247" t="str">
        <f>'FY28'!X84</f>
        <v>St. Rose</v>
      </c>
      <c r="Q84" s="247" t="str">
        <f>'FY29'!X84</f>
        <v>St. Rose</v>
      </c>
      <c r="R84" s="247" t="str">
        <f>'FY30'!X84</f>
        <v>St. Rose</v>
      </c>
      <c r="T84" s="247" t="str">
        <f>'FY26'!AF84</f>
        <v>Inspirada</v>
      </c>
      <c r="U84" s="247" t="str">
        <f>'FY27'!AF84</f>
        <v>Inspirada</v>
      </c>
      <c r="V84" s="247" t="str">
        <f>'FY28'!AF84</f>
        <v>Inspirada</v>
      </c>
      <c r="W84" s="247" t="str">
        <f>'FY29'!AF84</f>
        <v>Inspirada</v>
      </c>
      <c r="X84" s="247" t="str">
        <f>'FY30'!AF84</f>
        <v>Inspirada</v>
      </c>
      <c r="Z84" s="247" t="str">
        <f>'FY26'!AN84</f>
        <v>Sloan</v>
      </c>
      <c r="AA84" s="247" t="str">
        <f>'FY27'!AN84</f>
        <v>Sloan</v>
      </c>
      <c r="AB84" s="247" t="str">
        <f>'FY28'!AN84</f>
        <v>Sloan</v>
      </c>
      <c r="AC84" s="247" t="str">
        <f>'FY29'!AN84</f>
        <v>Sloan</v>
      </c>
      <c r="AD84" s="247" t="str">
        <f>'FY30'!AN84</f>
        <v>Sloan</v>
      </c>
      <c r="AF84" s="247" t="str">
        <f>'FY26'!AV84</f>
        <v>Springs</v>
      </c>
      <c r="AG84" s="247" t="str">
        <f>'FY27'!AV84</f>
        <v>Springs</v>
      </c>
      <c r="AH84" s="247" t="str">
        <f>'FY28'!AV84</f>
        <v>Springs</v>
      </c>
      <c r="AI84" s="247" t="str">
        <f>'FY29'!AV84</f>
        <v>Springs</v>
      </c>
      <c r="AJ84" s="247" t="str">
        <f>'FY30'!AV84</f>
        <v>Springs</v>
      </c>
      <c r="AL84" s="247" t="str">
        <f>'FY26'!BD84</f>
        <v>Virtual</v>
      </c>
      <c r="AM84" s="247" t="str">
        <f>'FY27'!BD84</f>
        <v>Virtual</v>
      </c>
      <c r="AN84" s="247" t="str">
        <f>'FY28'!BD84</f>
        <v>Virtual</v>
      </c>
      <c r="AO84" s="247" t="str">
        <f>'FY29'!BD84</f>
        <v>Virtual</v>
      </c>
      <c r="AP84" s="247" t="str">
        <f>'FY30'!BD84</f>
        <v>Virtual</v>
      </c>
      <c r="AR84" s="247" t="str">
        <f>'FY26'!BL84</f>
        <v>Central</v>
      </c>
      <c r="AS84" s="247" t="str">
        <f>'FY27'!BL84</f>
        <v>Central</v>
      </c>
      <c r="AT84" s="247" t="str">
        <f>'FY28'!BL84</f>
        <v>Central</v>
      </c>
      <c r="AU84" s="247" t="str">
        <f>'FY29'!BL84</f>
        <v>Central</v>
      </c>
      <c r="AV84" s="247" t="str">
        <f>'FY30'!BL84</f>
        <v>Central</v>
      </c>
      <c r="AX84" s="247" t="str">
        <f>'FY26'!BT84</f>
        <v>System</v>
      </c>
      <c r="AY84" s="247" t="str">
        <f>'FY27'!BT84</f>
        <v>System</v>
      </c>
      <c r="AZ84" s="247" t="str">
        <f>'FY28'!BT84</f>
        <v>System</v>
      </c>
      <c r="BA84" s="247" t="str">
        <f>'FY29'!BT84</f>
        <v>System</v>
      </c>
      <c r="BB84" s="247" t="str">
        <f>'FY30'!BT84</f>
        <v>System</v>
      </c>
    </row>
    <row r="85" spans="1:54" x14ac:dyDescent="0.25">
      <c r="A85" s="200" t="s">
        <v>229</v>
      </c>
      <c r="B85" s="241">
        <f>'FY26'!H85</f>
        <v>26500</v>
      </c>
      <c r="C85" s="241">
        <f>'FY27'!H85</f>
        <v>0</v>
      </c>
      <c r="D85" s="241">
        <f>'FY28'!H85</f>
        <v>0</v>
      </c>
      <c r="E85" s="241">
        <f>'FY29'!H85</f>
        <v>0</v>
      </c>
      <c r="F85" s="241">
        <f>'FY30'!H85</f>
        <v>0</v>
      </c>
      <c r="H85" s="241">
        <f>'FY26'!P85</f>
        <v>80000</v>
      </c>
      <c r="I85" s="241">
        <f>'FY27'!P85</f>
        <v>0</v>
      </c>
      <c r="J85" s="241">
        <f>'FY28'!P85</f>
        <v>0</v>
      </c>
      <c r="K85" s="241">
        <f>'FY29'!P85</f>
        <v>0</v>
      </c>
      <c r="L85" s="241">
        <f>'FY30'!P85</f>
        <v>0</v>
      </c>
      <c r="N85" s="241">
        <f>'FY26'!X85</f>
        <v>330000</v>
      </c>
      <c r="O85" s="241">
        <f>'FY27'!X85</f>
        <v>0</v>
      </c>
      <c r="P85" s="241">
        <f>'FY28'!X85</f>
        <v>0</v>
      </c>
      <c r="Q85" s="241">
        <f>'FY29'!X85</f>
        <v>0</v>
      </c>
      <c r="R85" s="241">
        <f>'FY30'!X85</f>
        <v>0</v>
      </c>
      <c r="T85" s="241">
        <f>'FY26'!AF85</f>
        <v>450000</v>
      </c>
      <c r="U85" s="241">
        <f>'FY27'!AF85</f>
        <v>0</v>
      </c>
      <c r="V85" s="241">
        <f>'FY28'!AF85</f>
        <v>0</v>
      </c>
      <c r="W85" s="241">
        <f>'FY29'!AF85</f>
        <v>0</v>
      </c>
      <c r="X85" s="241">
        <f>'FY30'!AF85</f>
        <v>0</v>
      </c>
      <c r="Z85" s="241">
        <f>'FY26'!AN85</f>
        <v>1100000</v>
      </c>
      <c r="AA85" s="241">
        <f>'FY27'!AN85</f>
        <v>0</v>
      </c>
      <c r="AB85" s="241">
        <f>'FY28'!AN85</f>
        <v>0</v>
      </c>
      <c r="AC85" s="241">
        <f>'FY29'!AN85</f>
        <v>0</v>
      </c>
      <c r="AD85" s="241">
        <f>'FY30'!AN85</f>
        <v>0</v>
      </c>
      <c r="AF85" s="241">
        <f>'FY26'!AV85</f>
        <v>15500</v>
      </c>
      <c r="AG85" s="241">
        <f>'FY27'!AV85</f>
        <v>0</v>
      </c>
      <c r="AH85" s="241">
        <f>'FY28'!AV85</f>
        <v>0</v>
      </c>
      <c r="AI85" s="241">
        <f>'FY29'!AV85</f>
        <v>0</v>
      </c>
      <c r="AJ85" s="241">
        <f>'FY30'!AV85</f>
        <v>0</v>
      </c>
      <c r="AL85" s="241">
        <f>'FY26'!BD85</f>
        <v>0</v>
      </c>
      <c r="AM85" s="241">
        <f>'FY27'!BD85</f>
        <v>0</v>
      </c>
      <c r="AN85" s="241">
        <f>'FY28'!BD85</f>
        <v>0</v>
      </c>
      <c r="AO85" s="241">
        <f>'FY29'!BD85</f>
        <v>0</v>
      </c>
      <c r="AP85" s="241">
        <f>'FY30'!BD85</f>
        <v>0</v>
      </c>
      <c r="AR85" s="241">
        <f>'FY26'!BL85</f>
        <v>0</v>
      </c>
      <c r="AS85" s="241">
        <f>'FY27'!BL85</f>
        <v>0</v>
      </c>
      <c r="AT85" s="241">
        <f>'FY28'!BL85</f>
        <v>0</v>
      </c>
      <c r="AU85" s="241">
        <f>'FY29'!BL85</f>
        <v>0</v>
      </c>
      <c r="AV85" s="241">
        <f>'FY30'!BL85</f>
        <v>0</v>
      </c>
      <c r="AX85" s="241">
        <f>'FY26'!BT85</f>
        <v>2002000</v>
      </c>
      <c r="AY85" s="241">
        <f>'FY27'!BT85</f>
        <v>0</v>
      </c>
      <c r="AZ85" s="241">
        <f>'FY28'!BT85</f>
        <v>0</v>
      </c>
      <c r="BA85" s="241">
        <f>'FY29'!BT85</f>
        <v>0</v>
      </c>
      <c r="BB85" s="241">
        <f>'FY30'!BT85</f>
        <v>0</v>
      </c>
    </row>
    <row r="86" spans="1:54" x14ac:dyDescent="0.25">
      <c r="A86" s="201" t="s">
        <v>230</v>
      </c>
      <c r="B86" s="241">
        <f>'FY26'!H86</f>
        <v>0</v>
      </c>
      <c r="C86" s="241">
        <f>'FY27'!H86</f>
        <v>0</v>
      </c>
      <c r="D86" s="241">
        <f>'FY28'!H86</f>
        <v>0</v>
      </c>
      <c r="E86" s="241">
        <f>'FY29'!H86</f>
        <v>0</v>
      </c>
      <c r="F86" s="241">
        <f>'FY30'!H86</f>
        <v>0</v>
      </c>
      <c r="H86" s="241">
        <f>'FY26'!P86</f>
        <v>0</v>
      </c>
      <c r="I86" s="241">
        <f>'FY27'!P86</f>
        <v>0</v>
      </c>
      <c r="J86" s="241">
        <f>'FY28'!P86</f>
        <v>0</v>
      </c>
      <c r="K86" s="241">
        <f>'FY29'!P86</f>
        <v>0</v>
      </c>
      <c r="L86" s="241">
        <f>'FY30'!P86</f>
        <v>0</v>
      </c>
      <c r="N86" s="241">
        <f>'FY26'!X86</f>
        <v>0</v>
      </c>
      <c r="O86" s="241">
        <f>'FY27'!X86</f>
        <v>0</v>
      </c>
      <c r="P86" s="241">
        <f>'FY28'!X86</f>
        <v>0</v>
      </c>
      <c r="Q86" s="241">
        <f>'FY29'!X86</f>
        <v>0</v>
      </c>
      <c r="R86" s="241">
        <f>'FY30'!X86</f>
        <v>0</v>
      </c>
      <c r="T86" s="241">
        <f>'FY26'!AF86</f>
        <v>0</v>
      </c>
      <c r="U86" s="241">
        <f>'FY27'!AF86</f>
        <v>0</v>
      </c>
      <c r="V86" s="241">
        <f>'FY28'!AF86</f>
        <v>0</v>
      </c>
      <c r="W86" s="241">
        <f>'FY29'!AF86</f>
        <v>0</v>
      </c>
      <c r="X86" s="241">
        <f>'FY30'!AF86</f>
        <v>0</v>
      </c>
      <c r="Z86" s="241">
        <f>'FY26'!AN86</f>
        <v>0</v>
      </c>
      <c r="AA86" s="241">
        <f>'FY27'!AN86</f>
        <v>0</v>
      </c>
      <c r="AB86" s="241">
        <f>'FY28'!AN86</f>
        <v>0</v>
      </c>
      <c r="AC86" s="241">
        <f>'FY29'!AN86</f>
        <v>0</v>
      </c>
      <c r="AD86" s="241">
        <f>'FY30'!AN86</f>
        <v>0</v>
      </c>
      <c r="AF86" s="241">
        <f>'FY26'!AV86</f>
        <v>0</v>
      </c>
      <c r="AG86" s="241">
        <f>'FY27'!AV86</f>
        <v>0</v>
      </c>
      <c r="AH86" s="241">
        <f>'FY28'!AV86</f>
        <v>0</v>
      </c>
      <c r="AI86" s="241">
        <f>'FY29'!AV86</f>
        <v>0</v>
      </c>
      <c r="AJ86" s="241">
        <f>'FY30'!AV86</f>
        <v>0</v>
      </c>
      <c r="AL86" s="241">
        <f>'FY26'!BD86</f>
        <v>0</v>
      </c>
      <c r="AM86" s="241">
        <f>'FY27'!BD86</f>
        <v>0</v>
      </c>
      <c r="AN86" s="241">
        <f>'FY28'!BD86</f>
        <v>0</v>
      </c>
      <c r="AO86" s="241">
        <f>'FY29'!BD86</f>
        <v>0</v>
      </c>
      <c r="AP86" s="241">
        <f>'FY30'!BD86</f>
        <v>0</v>
      </c>
      <c r="AR86" s="241">
        <f>'FY26'!BL86</f>
        <v>0</v>
      </c>
      <c r="AS86" s="241">
        <f>'FY27'!BL86</f>
        <v>0</v>
      </c>
      <c r="AT86" s="241">
        <f>'FY28'!BL86</f>
        <v>0</v>
      </c>
      <c r="AU86" s="241">
        <f>'FY29'!BL86</f>
        <v>0</v>
      </c>
      <c r="AV86" s="241">
        <f>'FY30'!BL86</f>
        <v>0</v>
      </c>
      <c r="AX86" s="241">
        <f>'FY26'!BT86</f>
        <v>0</v>
      </c>
      <c r="AY86" s="241">
        <f>'FY27'!BT86</f>
        <v>0</v>
      </c>
      <c r="AZ86" s="241">
        <f>'FY28'!BT86</f>
        <v>0</v>
      </c>
      <c r="BA86" s="241">
        <f>'FY29'!BT86</f>
        <v>0</v>
      </c>
      <c r="BB86" s="241">
        <f>'FY30'!BT86</f>
        <v>0</v>
      </c>
    </row>
    <row r="87" spans="1:54" x14ac:dyDescent="0.25">
      <c r="A87" s="202" t="s">
        <v>231</v>
      </c>
      <c r="B87" s="241">
        <f>'FY26'!H87</f>
        <v>0</v>
      </c>
      <c r="C87" s="241">
        <f>'FY27'!H87</f>
        <v>0</v>
      </c>
      <c r="D87" s="241">
        <f>'FY28'!H87</f>
        <v>0</v>
      </c>
      <c r="E87" s="241">
        <f>'FY29'!H87</f>
        <v>0</v>
      </c>
      <c r="F87" s="241">
        <f>'FY30'!H87</f>
        <v>0</v>
      </c>
      <c r="H87" s="241">
        <f>'FY26'!P87</f>
        <v>0</v>
      </c>
      <c r="I87" s="241">
        <f>'FY27'!P87</f>
        <v>0</v>
      </c>
      <c r="J87" s="241">
        <f>'FY28'!P87</f>
        <v>0</v>
      </c>
      <c r="K87" s="241">
        <f>'FY29'!P87</f>
        <v>0</v>
      </c>
      <c r="L87" s="241">
        <f>'FY30'!P87</f>
        <v>0</v>
      </c>
      <c r="N87" s="241">
        <f>'FY26'!X87</f>
        <v>0</v>
      </c>
      <c r="O87" s="241">
        <f>'FY27'!X87</f>
        <v>0</v>
      </c>
      <c r="P87" s="241">
        <f>'FY28'!X87</f>
        <v>0</v>
      </c>
      <c r="Q87" s="241">
        <f>'FY29'!X87</f>
        <v>0</v>
      </c>
      <c r="R87" s="241">
        <f>'FY30'!X87</f>
        <v>0</v>
      </c>
      <c r="T87" s="241">
        <f>'FY26'!AF87</f>
        <v>0</v>
      </c>
      <c r="U87" s="241">
        <f>'FY27'!AF87</f>
        <v>0</v>
      </c>
      <c r="V87" s="241">
        <f>'FY28'!AF87</f>
        <v>0</v>
      </c>
      <c r="W87" s="241">
        <f>'FY29'!AF87</f>
        <v>0</v>
      </c>
      <c r="X87" s="241">
        <f>'FY30'!AF87</f>
        <v>0</v>
      </c>
      <c r="Z87" s="241">
        <f>'FY26'!AN87</f>
        <v>0</v>
      </c>
      <c r="AA87" s="241">
        <f>'FY27'!AN87</f>
        <v>0</v>
      </c>
      <c r="AB87" s="241">
        <f>'FY28'!AN87</f>
        <v>0</v>
      </c>
      <c r="AC87" s="241">
        <f>'FY29'!AN87</f>
        <v>0</v>
      </c>
      <c r="AD87" s="241">
        <f>'FY30'!AN87</f>
        <v>0</v>
      </c>
      <c r="AF87" s="241">
        <f>'FY26'!AV87</f>
        <v>0</v>
      </c>
      <c r="AG87" s="241">
        <f>'FY27'!AV87</f>
        <v>0</v>
      </c>
      <c r="AH87" s="241">
        <f>'FY28'!AV87</f>
        <v>0</v>
      </c>
      <c r="AI87" s="241">
        <f>'FY29'!AV87</f>
        <v>0</v>
      </c>
      <c r="AJ87" s="241">
        <f>'FY30'!AV87</f>
        <v>0</v>
      </c>
      <c r="AL87" s="241">
        <f>'FY26'!BD87</f>
        <v>0</v>
      </c>
      <c r="AM87" s="241">
        <f>'FY27'!BD87</f>
        <v>0</v>
      </c>
      <c r="AN87" s="241">
        <f>'FY28'!BD87</f>
        <v>0</v>
      </c>
      <c r="AO87" s="241">
        <f>'FY29'!BD87</f>
        <v>0</v>
      </c>
      <c r="AP87" s="241">
        <f>'FY30'!BD87</f>
        <v>0</v>
      </c>
      <c r="AR87" s="241">
        <f>'FY26'!BL87</f>
        <v>0</v>
      </c>
      <c r="AS87" s="241">
        <f>'FY27'!BL87</f>
        <v>0</v>
      </c>
      <c r="AT87" s="241">
        <f>'FY28'!BL87</f>
        <v>0</v>
      </c>
      <c r="AU87" s="241">
        <f>'FY29'!BL87</f>
        <v>0</v>
      </c>
      <c r="AV87" s="241">
        <f>'FY30'!BL87</f>
        <v>0</v>
      </c>
      <c r="AX87" s="241">
        <f>'FY26'!BT87</f>
        <v>0</v>
      </c>
      <c r="AY87" s="241">
        <f>'FY27'!BT87</f>
        <v>0</v>
      </c>
      <c r="AZ87" s="241">
        <f>'FY28'!BT87</f>
        <v>0</v>
      </c>
      <c r="BA87" s="241">
        <f>'FY29'!BT87</f>
        <v>0</v>
      </c>
      <c r="BB87" s="241">
        <f>'FY30'!BT87</f>
        <v>0</v>
      </c>
    </row>
    <row r="88" spans="1:54" x14ac:dyDescent="0.25">
      <c r="A88" s="204"/>
      <c r="B88" s="252">
        <f>'FY26'!H88</f>
        <v>26500</v>
      </c>
      <c r="C88" s="252">
        <f>'FY27'!H88</f>
        <v>0</v>
      </c>
      <c r="D88" s="252">
        <f>'FY28'!H88</f>
        <v>0</v>
      </c>
      <c r="E88" s="252">
        <f>'FY29'!H88</f>
        <v>0</v>
      </c>
      <c r="F88" s="252">
        <f>'FY30'!H88</f>
        <v>0</v>
      </c>
      <c r="H88" s="252">
        <f>'FY26'!P88</f>
        <v>80000</v>
      </c>
      <c r="I88" s="252">
        <f>'FY27'!P88</f>
        <v>0</v>
      </c>
      <c r="J88" s="252">
        <f>'FY28'!P88</f>
        <v>0</v>
      </c>
      <c r="K88" s="252">
        <f>'FY29'!P88</f>
        <v>0</v>
      </c>
      <c r="L88" s="252">
        <f>'FY30'!P88</f>
        <v>0</v>
      </c>
      <c r="N88" s="252">
        <f>'FY26'!X88</f>
        <v>330000</v>
      </c>
      <c r="O88" s="252">
        <f>'FY27'!X88</f>
        <v>0</v>
      </c>
      <c r="P88" s="252">
        <f>'FY28'!X88</f>
        <v>0</v>
      </c>
      <c r="Q88" s="252">
        <f>'FY29'!X88</f>
        <v>0</v>
      </c>
      <c r="R88" s="252">
        <f>'FY30'!X88</f>
        <v>0</v>
      </c>
      <c r="T88" s="252">
        <f>'FY26'!AF88</f>
        <v>450000</v>
      </c>
      <c r="U88" s="252">
        <f>'FY27'!AF88</f>
        <v>0</v>
      </c>
      <c r="V88" s="252">
        <f>'FY28'!AF88</f>
        <v>0</v>
      </c>
      <c r="W88" s="252">
        <f>'FY29'!AF88</f>
        <v>0</v>
      </c>
      <c r="X88" s="252">
        <f>'FY30'!AF88</f>
        <v>0</v>
      </c>
      <c r="Z88" s="252">
        <f>'FY26'!AN88</f>
        <v>1100000</v>
      </c>
      <c r="AA88" s="252">
        <f>'FY27'!AN88</f>
        <v>0</v>
      </c>
      <c r="AB88" s="252">
        <f>'FY28'!AN88</f>
        <v>0</v>
      </c>
      <c r="AC88" s="252">
        <f>'FY29'!AN88</f>
        <v>0</v>
      </c>
      <c r="AD88" s="252">
        <f>'FY30'!AN88</f>
        <v>0</v>
      </c>
      <c r="AF88" s="252">
        <f>'FY26'!AV88</f>
        <v>15500</v>
      </c>
      <c r="AG88" s="252">
        <f>'FY27'!AV88</f>
        <v>0</v>
      </c>
      <c r="AH88" s="252">
        <f>'FY28'!AV88</f>
        <v>0</v>
      </c>
      <c r="AI88" s="252">
        <f>'FY29'!AV88</f>
        <v>0</v>
      </c>
      <c r="AJ88" s="252">
        <f>'FY30'!AV88</f>
        <v>0</v>
      </c>
      <c r="AL88" s="252">
        <f>'FY26'!BD88</f>
        <v>0</v>
      </c>
      <c r="AM88" s="252">
        <f>'FY27'!BD88</f>
        <v>0</v>
      </c>
      <c r="AN88" s="252">
        <f>'FY28'!BD88</f>
        <v>0</v>
      </c>
      <c r="AO88" s="252">
        <f>'FY29'!BD88</f>
        <v>0</v>
      </c>
      <c r="AP88" s="252">
        <f>'FY30'!BD88</f>
        <v>0</v>
      </c>
      <c r="AR88" s="252">
        <f>'FY26'!BL88</f>
        <v>0</v>
      </c>
      <c r="AS88" s="252">
        <f>'FY27'!BL88</f>
        <v>0</v>
      </c>
      <c r="AT88" s="252">
        <f>'FY28'!BL88</f>
        <v>0</v>
      </c>
      <c r="AU88" s="252">
        <f>'FY29'!BL88</f>
        <v>0</v>
      </c>
      <c r="AV88" s="252">
        <f>'FY30'!BL88</f>
        <v>0</v>
      </c>
      <c r="AX88" s="252">
        <f>'FY26'!BT88</f>
        <v>2002000</v>
      </c>
      <c r="AY88" s="252">
        <f>'FY27'!BT88</f>
        <v>0</v>
      </c>
      <c r="AZ88" s="252">
        <f>'FY28'!BT88</f>
        <v>0</v>
      </c>
      <c r="BA88" s="252">
        <f>'FY29'!BT88</f>
        <v>0</v>
      </c>
      <c r="BB88" s="252">
        <f>'FY30'!BT88</f>
        <v>0</v>
      </c>
    </row>
    <row r="89" spans="1:54" x14ac:dyDescent="0.25">
      <c r="B89" s="116">
        <f>'FY26'!H89</f>
        <v>0</v>
      </c>
      <c r="C89" s="116">
        <f>'FY27'!H89</f>
        <v>0</v>
      </c>
      <c r="D89" s="116">
        <f>'FY28'!H89</f>
        <v>0</v>
      </c>
      <c r="E89" s="116">
        <f>'FY29'!H89</f>
        <v>0</v>
      </c>
      <c r="F89" s="116">
        <f>'FY30'!H89</f>
        <v>0</v>
      </c>
      <c r="H89" s="116">
        <f>'FY26'!P89</f>
        <v>0</v>
      </c>
      <c r="I89" s="116">
        <f>'FY27'!P89</f>
        <v>0</v>
      </c>
      <c r="J89" s="116">
        <f>'FY28'!P89</f>
        <v>0</v>
      </c>
      <c r="K89" s="116">
        <f>'FY29'!P89</f>
        <v>0</v>
      </c>
      <c r="L89" s="116">
        <f>'FY30'!P89</f>
        <v>0</v>
      </c>
      <c r="N89" s="116">
        <f>'FY26'!X89</f>
        <v>0</v>
      </c>
      <c r="O89" s="116">
        <f>'FY27'!X89</f>
        <v>0</v>
      </c>
      <c r="P89" s="116">
        <f>'FY28'!X89</f>
        <v>0</v>
      </c>
      <c r="Q89" s="116">
        <f>'FY29'!X89</f>
        <v>0</v>
      </c>
      <c r="R89" s="116">
        <f>'FY30'!X89</f>
        <v>0</v>
      </c>
      <c r="T89" s="116">
        <f>'FY26'!AF89</f>
        <v>0</v>
      </c>
      <c r="U89" s="116">
        <f>'FY27'!AF89</f>
        <v>0</v>
      </c>
      <c r="V89" s="116">
        <f>'FY28'!AF89</f>
        <v>0</v>
      </c>
      <c r="W89" s="116">
        <f>'FY29'!AF89</f>
        <v>0</v>
      </c>
      <c r="X89" s="116">
        <f>'FY30'!AF89</f>
        <v>0</v>
      </c>
      <c r="Z89" s="116">
        <f>'FY26'!AN89</f>
        <v>0</v>
      </c>
      <c r="AA89" s="116">
        <f>'FY27'!AN89</f>
        <v>0</v>
      </c>
      <c r="AB89" s="116">
        <f>'FY28'!AN89</f>
        <v>0</v>
      </c>
      <c r="AC89" s="116">
        <f>'FY29'!AN89</f>
        <v>0</v>
      </c>
      <c r="AD89" s="116">
        <f>'FY30'!AN89</f>
        <v>0</v>
      </c>
      <c r="AF89" s="116">
        <f>'FY26'!AV89</f>
        <v>0</v>
      </c>
      <c r="AG89" s="116">
        <f>'FY27'!AV89</f>
        <v>0</v>
      </c>
      <c r="AH89" s="116">
        <f>'FY28'!AV89</f>
        <v>0</v>
      </c>
      <c r="AI89" s="116">
        <f>'FY29'!AV89</f>
        <v>0</v>
      </c>
      <c r="AJ89" s="116">
        <f>'FY30'!AV89</f>
        <v>0</v>
      </c>
      <c r="AL89" s="116">
        <f>'FY26'!BD89</f>
        <v>0</v>
      </c>
      <c r="AM89" s="116">
        <f>'FY27'!BD89</f>
        <v>0</v>
      </c>
      <c r="AN89" s="116">
        <f>'FY28'!BD89</f>
        <v>0</v>
      </c>
      <c r="AO89" s="116">
        <f>'FY29'!BD89</f>
        <v>0</v>
      </c>
      <c r="AP89" s="116">
        <f>'FY30'!BD89</f>
        <v>0</v>
      </c>
      <c r="AR89" s="116">
        <f>'FY26'!BL89</f>
        <v>0</v>
      </c>
      <c r="AS89" s="116">
        <f>'FY27'!BL89</f>
        <v>0</v>
      </c>
      <c r="AT89" s="116">
        <f>'FY28'!BL89</f>
        <v>0</v>
      </c>
      <c r="AU89" s="116">
        <f>'FY29'!BL89</f>
        <v>0</v>
      </c>
      <c r="AV89" s="116">
        <f>'FY30'!BL89</f>
        <v>0</v>
      </c>
      <c r="AX89" s="116">
        <f>'FY26'!BT89</f>
        <v>0</v>
      </c>
      <c r="AY89" s="116">
        <f>'FY27'!BT89</f>
        <v>0</v>
      </c>
      <c r="AZ89" s="116">
        <f>'FY28'!BT89</f>
        <v>0</v>
      </c>
      <c r="BA89" s="116">
        <f>'FY29'!BT89</f>
        <v>0</v>
      </c>
      <c r="BB89" s="116">
        <f>'FY30'!BT89</f>
        <v>0</v>
      </c>
    </row>
    <row r="90" spans="1:54" ht="16.5" thickBot="1" x14ac:dyDescent="0.3">
      <c r="B90" s="116">
        <f>'FY26'!H90</f>
        <v>0</v>
      </c>
      <c r="C90" s="116">
        <f>'FY27'!H90</f>
        <v>0</v>
      </c>
      <c r="D90" s="116">
        <f>'FY28'!H90</f>
        <v>0</v>
      </c>
      <c r="E90" s="116">
        <f>'FY29'!H90</f>
        <v>0</v>
      </c>
      <c r="F90" s="116">
        <f>'FY30'!H90</f>
        <v>0</v>
      </c>
      <c r="H90" s="116">
        <f>'FY26'!P90</f>
        <v>0</v>
      </c>
      <c r="I90" s="116">
        <f>'FY27'!P90</f>
        <v>0</v>
      </c>
      <c r="J90" s="116">
        <f>'FY28'!P90</f>
        <v>0</v>
      </c>
      <c r="K90" s="116">
        <f>'FY29'!P90</f>
        <v>0</v>
      </c>
      <c r="L90" s="116">
        <f>'FY30'!P90</f>
        <v>0</v>
      </c>
      <c r="N90" s="116">
        <f>'FY26'!X90</f>
        <v>0</v>
      </c>
      <c r="O90" s="116">
        <f>'FY27'!X90</f>
        <v>0</v>
      </c>
      <c r="P90" s="116">
        <f>'FY28'!X90</f>
        <v>0</v>
      </c>
      <c r="Q90" s="116">
        <f>'FY29'!X90</f>
        <v>0</v>
      </c>
      <c r="R90" s="116">
        <f>'FY30'!X90</f>
        <v>0</v>
      </c>
      <c r="T90" s="116">
        <f>'FY26'!AF90</f>
        <v>0</v>
      </c>
      <c r="U90" s="116">
        <f>'FY27'!AF90</f>
        <v>0</v>
      </c>
      <c r="V90" s="116">
        <f>'FY28'!AF90</f>
        <v>0</v>
      </c>
      <c r="W90" s="116">
        <f>'FY29'!AF90</f>
        <v>0</v>
      </c>
      <c r="X90" s="116">
        <f>'FY30'!AF90</f>
        <v>0</v>
      </c>
      <c r="Z90" s="116">
        <f>'FY26'!AN90</f>
        <v>0</v>
      </c>
      <c r="AA90" s="116">
        <f>'FY27'!AN90</f>
        <v>0</v>
      </c>
      <c r="AB90" s="116">
        <f>'FY28'!AN90</f>
        <v>0</v>
      </c>
      <c r="AC90" s="116">
        <f>'FY29'!AN90</f>
        <v>0</v>
      </c>
      <c r="AD90" s="116">
        <f>'FY30'!AN90</f>
        <v>0</v>
      </c>
      <c r="AF90" s="116">
        <f>'FY26'!AV90</f>
        <v>0</v>
      </c>
      <c r="AG90" s="116">
        <f>'FY27'!AV90</f>
        <v>0</v>
      </c>
      <c r="AH90" s="116">
        <f>'FY28'!AV90</f>
        <v>0</v>
      </c>
      <c r="AI90" s="116">
        <f>'FY29'!AV90</f>
        <v>0</v>
      </c>
      <c r="AJ90" s="116">
        <f>'FY30'!AV90</f>
        <v>0</v>
      </c>
      <c r="AL90" s="116">
        <f>'FY26'!BD90</f>
        <v>0</v>
      </c>
      <c r="AM90" s="116">
        <f>'FY27'!BD90</f>
        <v>0</v>
      </c>
      <c r="AN90" s="116">
        <f>'FY28'!BD90</f>
        <v>0</v>
      </c>
      <c r="AO90" s="116">
        <f>'FY29'!BD90</f>
        <v>0</v>
      </c>
      <c r="AP90" s="116">
        <f>'FY30'!BD90</f>
        <v>0</v>
      </c>
      <c r="AR90" s="116">
        <f>'FY26'!BL90</f>
        <v>0</v>
      </c>
      <c r="AS90" s="116">
        <f>'FY27'!BL90</f>
        <v>0</v>
      </c>
      <c r="AT90" s="116">
        <f>'FY28'!BL90</f>
        <v>0</v>
      </c>
      <c r="AU90" s="116">
        <f>'FY29'!BL90</f>
        <v>0</v>
      </c>
      <c r="AV90" s="116">
        <f>'FY30'!BL90</f>
        <v>0</v>
      </c>
      <c r="AX90" s="116">
        <f>'FY26'!BT90</f>
        <v>0</v>
      </c>
      <c r="AY90" s="116">
        <f>'FY27'!BT90</f>
        <v>0</v>
      </c>
      <c r="AZ90" s="116">
        <f>'FY28'!BT90</f>
        <v>0</v>
      </c>
      <c r="BA90" s="116">
        <f>'FY29'!BT90</f>
        <v>0</v>
      </c>
      <c r="BB90" s="116">
        <f>'FY30'!BT90</f>
        <v>0</v>
      </c>
    </row>
    <row r="91" spans="1:54" x14ac:dyDescent="0.25">
      <c r="A91" s="205" t="s">
        <v>328</v>
      </c>
      <c r="B91" s="255" t="str">
        <f>'FY26'!H91</f>
        <v>Total (25-26)</v>
      </c>
      <c r="C91" s="255" t="str">
        <f>'FY27'!H91</f>
        <v>Horizon</v>
      </c>
      <c r="D91" s="255" t="str">
        <f>'FY28'!H91</f>
        <v>Horizon</v>
      </c>
      <c r="E91" s="255" t="str">
        <f>'FY29'!H91</f>
        <v>Horizon</v>
      </c>
      <c r="F91" s="255" t="str">
        <f>'FY30'!H91</f>
        <v>Horizon</v>
      </c>
      <c r="H91" s="255" t="str">
        <f>'FY26'!P91</f>
        <v>Cadence</v>
      </c>
      <c r="I91" s="255" t="str">
        <f>'FY27'!P91</f>
        <v>Cadence</v>
      </c>
      <c r="J91" s="255" t="str">
        <f>'FY28'!P91</f>
        <v>Cadence</v>
      </c>
      <c r="K91" s="255" t="str">
        <f>'FY29'!P91</f>
        <v>Cadence</v>
      </c>
      <c r="L91" s="255" t="str">
        <f>'FY30'!P91</f>
        <v>Cadence</v>
      </c>
      <c r="N91" s="255" t="str">
        <f>'FY26'!X91</f>
        <v>St. Rose</v>
      </c>
      <c r="O91" s="255" t="str">
        <f>'FY27'!X91</f>
        <v>St. Rose</v>
      </c>
      <c r="P91" s="255" t="str">
        <f>'FY28'!X91</f>
        <v>St. Rose</v>
      </c>
      <c r="Q91" s="255" t="str">
        <f>'FY29'!X91</f>
        <v>St. Rose</v>
      </c>
      <c r="R91" s="255" t="str">
        <f>'FY30'!X91</f>
        <v>St. Rose</v>
      </c>
      <c r="T91" s="255" t="str">
        <f>'FY26'!AF91</f>
        <v>Inspirada</v>
      </c>
      <c r="U91" s="255" t="str">
        <f>'FY27'!AF91</f>
        <v>Inspirada</v>
      </c>
      <c r="V91" s="255" t="str">
        <f>'FY28'!AF91</f>
        <v>Inspirada</v>
      </c>
      <c r="W91" s="255" t="str">
        <f>'FY29'!AF91</f>
        <v>Inspirada</v>
      </c>
      <c r="X91" s="255" t="str">
        <f>'FY30'!AF91</f>
        <v>Inspirada</v>
      </c>
      <c r="Z91" s="255" t="str">
        <f>'FY26'!AN91</f>
        <v>Sloan</v>
      </c>
      <c r="AA91" s="255" t="str">
        <f>'FY27'!AN91</f>
        <v>Sloan</v>
      </c>
      <c r="AB91" s="255" t="str">
        <f>'FY28'!AN91</f>
        <v>Sloan</v>
      </c>
      <c r="AC91" s="255" t="str">
        <f>'FY29'!AN91</f>
        <v>Sloan</v>
      </c>
      <c r="AD91" s="255" t="str">
        <f>'FY30'!AN91</f>
        <v>Sloan</v>
      </c>
      <c r="AF91" s="255" t="str">
        <f>'FY26'!AV91</f>
        <v>Springs</v>
      </c>
      <c r="AG91" s="255" t="str">
        <f>'FY27'!AV91</f>
        <v>Springs</v>
      </c>
      <c r="AH91" s="255" t="str">
        <f>'FY28'!AV91</f>
        <v>Springs</v>
      </c>
      <c r="AI91" s="255" t="str">
        <f>'FY29'!AV91</f>
        <v>Springs</v>
      </c>
      <c r="AJ91" s="255" t="str">
        <f>'FY30'!AV91</f>
        <v>Springs</v>
      </c>
      <c r="AL91" s="255" t="str">
        <f>'FY26'!BD91</f>
        <v>Virtual</v>
      </c>
      <c r="AM91" s="255" t="str">
        <f>'FY27'!BD91</f>
        <v>Virtual</v>
      </c>
      <c r="AN91" s="255" t="str">
        <f>'FY28'!BD91</f>
        <v>Virtual</v>
      </c>
      <c r="AO91" s="255" t="str">
        <f>'FY29'!BD91</f>
        <v>Virtual</v>
      </c>
      <c r="AP91" s="255" t="str">
        <f>'FY30'!BD91</f>
        <v>Virtual</v>
      </c>
      <c r="AR91" s="255" t="str">
        <f>'FY26'!BL91</f>
        <v>Central</v>
      </c>
      <c r="AS91" s="255" t="str">
        <f>'FY27'!BL91</f>
        <v>Central</v>
      </c>
      <c r="AT91" s="255" t="str">
        <f>'FY28'!BL91</f>
        <v>Central</v>
      </c>
      <c r="AU91" s="255" t="str">
        <f>'FY29'!BL91</f>
        <v>Central</v>
      </c>
      <c r="AV91" s="255" t="str">
        <f>'FY30'!BL91</f>
        <v>Central</v>
      </c>
      <c r="AX91" s="255" t="str">
        <f>'FY26'!BT91</f>
        <v>System</v>
      </c>
      <c r="AY91" s="255" t="str">
        <f>'FY27'!BT91</f>
        <v>System</v>
      </c>
      <c r="AZ91" s="255" t="str">
        <f>'FY28'!BT91</f>
        <v>System</v>
      </c>
      <c r="BA91" s="255" t="str">
        <f>'FY29'!BT91</f>
        <v>System</v>
      </c>
      <c r="BB91" s="255" t="str">
        <f>'FY30'!BT91</f>
        <v>System</v>
      </c>
    </row>
    <row r="92" spans="1:54" x14ac:dyDescent="0.25">
      <c r="A92" s="206" t="s">
        <v>327</v>
      </c>
      <c r="B92" s="256">
        <f>'FY26'!H92</f>
        <v>0</v>
      </c>
      <c r="C92" s="256">
        <f>'FY27'!H92</f>
        <v>0</v>
      </c>
      <c r="D92" s="256">
        <f>'FY28'!H92</f>
        <v>0</v>
      </c>
      <c r="E92" s="256">
        <f>'FY29'!H92</f>
        <v>0</v>
      </c>
      <c r="F92" s="256">
        <f>'FY30'!H92</f>
        <v>0</v>
      </c>
      <c r="H92" s="256">
        <f>'FY26'!P92</f>
        <v>0</v>
      </c>
      <c r="I92" s="256">
        <f>'FY27'!P92</f>
        <v>0</v>
      </c>
      <c r="J92" s="256">
        <f>'FY28'!P92</f>
        <v>0</v>
      </c>
      <c r="K92" s="256">
        <f>'FY29'!P92</f>
        <v>0</v>
      </c>
      <c r="L92" s="256">
        <f>'FY30'!P92</f>
        <v>0</v>
      </c>
      <c r="N92" s="256">
        <f>'FY26'!X92</f>
        <v>0</v>
      </c>
      <c r="O92" s="256">
        <f>'FY27'!X92</f>
        <v>0</v>
      </c>
      <c r="P92" s="256">
        <f>'FY28'!X92</f>
        <v>0</v>
      </c>
      <c r="Q92" s="256">
        <f>'FY29'!X92</f>
        <v>0</v>
      </c>
      <c r="R92" s="256">
        <f>'FY30'!X92</f>
        <v>0</v>
      </c>
      <c r="T92" s="256">
        <f>'FY26'!AF92</f>
        <v>0</v>
      </c>
      <c r="U92" s="256">
        <f>'FY27'!AF92</f>
        <v>0</v>
      </c>
      <c r="V92" s="256">
        <f>'FY28'!AF92</f>
        <v>0</v>
      </c>
      <c r="W92" s="256">
        <f>'FY29'!AF92</f>
        <v>0</v>
      </c>
      <c r="X92" s="256">
        <f>'FY30'!AF92</f>
        <v>0</v>
      </c>
      <c r="Z92" s="256">
        <f>'FY26'!AN92</f>
        <v>0</v>
      </c>
      <c r="AA92" s="256">
        <f>'FY27'!AN92</f>
        <v>0</v>
      </c>
      <c r="AB92" s="256">
        <f>'FY28'!AN92</f>
        <v>0</v>
      </c>
      <c r="AC92" s="256">
        <f>'FY29'!AN92</f>
        <v>0</v>
      </c>
      <c r="AD92" s="256">
        <f>'FY30'!AN92</f>
        <v>0</v>
      </c>
      <c r="AF92" s="256">
        <f>'FY26'!AV92</f>
        <v>0</v>
      </c>
      <c r="AG92" s="256">
        <f>'FY27'!AV92</f>
        <v>0</v>
      </c>
      <c r="AH92" s="256">
        <f>'FY28'!AV92</f>
        <v>0</v>
      </c>
      <c r="AI92" s="256">
        <f>'FY29'!AV92</f>
        <v>0</v>
      </c>
      <c r="AJ92" s="256">
        <f>'FY30'!AV92</f>
        <v>0</v>
      </c>
      <c r="AL92" s="256">
        <f>'FY26'!BD92</f>
        <v>0</v>
      </c>
      <c r="AM92" s="256">
        <f>'FY27'!BD92</f>
        <v>0</v>
      </c>
      <c r="AN92" s="256">
        <f>'FY28'!BD92</f>
        <v>0</v>
      </c>
      <c r="AO92" s="256">
        <f>'FY29'!BD92</f>
        <v>0</v>
      </c>
      <c r="AP92" s="256">
        <f>'FY30'!BD92</f>
        <v>0</v>
      </c>
      <c r="AR92" s="256">
        <f>'FY26'!BL92</f>
        <v>0</v>
      </c>
      <c r="AS92" s="256">
        <f>'FY27'!BL92</f>
        <v>0</v>
      </c>
      <c r="AT92" s="256">
        <f>'FY28'!BL92</f>
        <v>0</v>
      </c>
      <c r="AU92" s="256">
        <f>'FY29'!BL92</f>
        <v>0</v>
      </c>
      <c r="AV92" s="256">
        <f>'FY30'!BL92</f>
        <v>0</v>
      </c>
      <c r="AX92" s="256">
        <f>'FY26'!BT92</f>
        <v>0</v>
      </c>
      <c r="AY92" s="256">
        <f>'FY27'!BT92</f>
        <v>0</v>
      </c>
      <c r="AZ92" s="256">
        <f>'FY28'!BT92</f>
        <v>0</v>
      </c>
      <c r="BA92" s="256">
        <f>'FY29'!BT92</f>
        <v>0</v>
      </c>
      <c r="BB92" s="256">
        <f>'FY30'!BT92</f>
        <v>0</v>
      </c>
    </row>
    <row r="93" spans="1:54" x14ac:dyDescent="0.25">
      <c r="A93" s="200" t="s">
        <v>53</v>
      </c>
      <c r="B93" s="241">
        <f>'FY26'!H93</f>
        <v>168639.84</v>
      </c>
      <c r="C93" s="241">
        <f>'FY27'!H93</f>
        <v>172012.63680000001</v>
      </c>
      <c r="D93" s="241">
        <f>'FY28'!H93</f>
        <v>175452.889536</v>
      </c>
      <c r="E93" s="241">
        <f>'FY29'!H93</f>
        <v>178961.94732671999</v>
      </c>
      <c r="F93" s="241">
        <f>'FY30'!H93</f>
        <v>182541.1862732544</v>
      </c>
      <c r="H93" s="241">
        <f>'FY26'!P93</f>
        <v>175233.9</v>
      </c>
      <c r="I93" s="241">
        <f>'FY27'!P93</f>
        <v>178738.57800000001</v>
      </c>
      <c r="J93" s="241">
        <f>'FY28'!P93</f>
        <v>182313.34956</v>
      </c>
      <c r="K93" s="241">
        <f>'FY29'!P93</f>
        <v>185959.61655120002</v>
      </c>
      <c r="L93" s="241">
        <f>'FY30'!P93</f>
        <v>189678.80888222402</v>
      </c>
      <c r="N93" s="241">
        <f>'FY26'!X93</f>
        <v>164258.22</v>
      </c>
      <c r="O93" s="241">
        <f>'FY27'!X93</f>
        <v>167543.38440000001</v>
      </c>
      <c r="P93" s="241">
        <f>'FY28'!X93</f>
        <v>170894.25208800001</v>
      </c>
      <c r="Q93" s="241">
        <f>'FY29'!X93</f>
        <v>174312.13712976</v>
      </c>
      <c r="R93" s="241">
        <f>'FY30'!X93</f>
        <v>177798.3798723552</v>
      </c>
      <c r="T93" s="241">
        <f>'FY26'!AF93</f>
        <v>230155.56</v>
      </c>
      <c r="U93" s="241">
        <f>'FY27'!AF93</f>
        <v>234758.67120000001</v>
      </c>
      <c r="V93" s="241">
        <f>'FY28'!AF93</f>
        <v>239453.84462400002</v>
      </c>
      <c r="W93" s="241">
        <f>'FY29'!AF93</f>
        <v>244242.92151648001</v>
      </c>
      <c r="X93" s="241">
        <f>'FY30'!AF93</f>
        <v>249127.77994680961</v>
      </c>
      <c r="Z93" s="241">
        <f>'FY26'!AN93</f>
        <v>180277</v>
      </c>
      <c r="AA93" s="241">
        <f>'FY27'!AN93</f>
        <v>183882.54</v>
      </c>
      <c r="AB93" s="241">
        <f>'FY28'!AN93</f>
        <v>187560.19080000001</v>
      </c>
      <c r="AC93" s="241">
        <f>'FY29'!AN93</f>
        <v>191311.39461600001</v>
      </c>
      <c r="AD93" s="241">
        <f>'FY30'!AN93</f>
        <v>195137.62250832</v>
      </c>
      <c r="AF93" s="241">
        <f>'FY26'!AV93</f>
        <v>139050</v>
      </c>
      <c r="AG93" s="241">
        <f>'FY27'!AV93</f>
        <v>141831</v>
      </c>
      <c r="AH93" s="241">
        <f>'FY28'!AV93</f>
        <v>144667.62</v>
      </c>
      <c r="AI93" s="241">
        <f>'FY29'!AV93</f>
        <v>144667.62</v>
      </c>
      <c r="AJ93" s="241">
        <f>'FY30'!AV93</f>
        <v>147560.9724</v>
      </c>
      <c r="AL93" s="241">
        <f>'FY26'!BD93</f>
        <v>0</v>
      </c>
      <c r="AM93" s="241">
        <f>'FY27'!BD93</f>
        <v>0</v>
      </c>
      <c r="AN93" s="241">
        <f>'FY28'!BD93</f>
        <v>0</v>
      </c>
      <c r="AO93" s="241">
        <f>'FY29'!BD93</f>
        <v>0</v>
      </c>
      <c r="AP93" s="241">
        <f>'FY30'!BD93</f>
        <v>0</v>
      </c>
      <c r="AR93" s="241">
        <f>'FY26'!BL93</f>
        <v>0</v>
      </c>
      <c r="AS93" s="241">
        <f>'FY27'!BL93</f>
        <v>0</v>
      </c>
      <c r="AT93" s="241">
        <f>'FY28'!BL93</f>
        <v>0</v>
      </c>
      <c r="AU93" s="241">
        <f>'FY29'!BL93</f>
        <v>0</v>
      </c>
      <c r="AV93" s="241">
        <f>'FY30'!BL93</f>
        <v>0</v>
      </c>
      <c r="AX93" s="241">
        <f>'FY26'!BT93</f>
        <v>1057614.52</v>
      </c>
      <c r="AY93" s="241">
        <f>'FY27'!BT93</f>
        <v>1078766.8104000001</v>
      </c>
      <c r="AZ93" s="241">
        <f>'FY28'!BT93</f>
        <v>1100342.1466079999</v>
      </c>
      <c r="BA93" s="241">
        <f>'FY29'!BT93</f>
        <v>1119455.63714016</v>
      </c>
      <c r="BB93" s="241">
        <f>'FY30'!BT93</f>
        <v>1141844.7498829633</v>
      </c>
    </row>
    <row r="94" spans="1:54" x14ac:dyDescent="0.25">
      <c r="A94" s="201" t="s">
        <v>232</v>
      </c>
      <c r="B94" s="241">
        <f>'FY26'!H94</f>
        <v>296000</v>
      </c>
      <c r="C94" s="241">
        <f>'FY27'!H94</f>
        <v>298960</v>
      </c>
      <c r="D94" s="241">
        <f>'FY28'!H94</f>
        <v>301949.59999999998</v>
      </c>
      <c r="E94" s="241">
        <f>'FY29'!H94</f>
        <v>304969.09600000002</v>
      </c>
      <c r="F94" s="241">
        <f>'FY30'!H94</f>
        <v>308018.78696</v>
      </c>
      <c r="H94" s="241">
        <f>'FY26'!P94</f>
        <v>637365</v>
      </c>
      <c r="I94" s="241">
        <f>'FY27'!P94</f>
        <v>643738.65</v>
      </c>
      <c r="J94" s="241">
        <f>'FY28'!P94</f>
        <v>650176.03650000005</v>
      </c>
      <c r="K94" s="241">
        <f>'FY29'!P94</f>
        <v>656677.79686500004</v>
      </c>
      <c r="L94" s="241">
        <f>'FY30'!P94</f>
        <v>663244.57483365003</v>
      </c>
      <c r="N94" s="241">
        <f>'FY26'!X94</f>
        <v>313000</v>
      </c>
      <c r="O94" s="241">
        <f>'FY27'!X94</f>
        <v>316130</v>
      </c>
      <c r="P94" s="241">
        <f>'FY28'!X94</f>
        <v>319291.3</v>
      </c>
      <c r="Q94" s="241">
        <f>'FY29'!X94</f>
        <v>322484.21299999999</v>
      </c>
      <c r="R94" s="241">
        <f>'FY30'!X94</f>
        <v>325709.05512999999</v>
      </c>
      <c r="T94" s="241">
        <f>'FY26'!AF94</f>
        <v>207030</v>
      </c>
      <c r="U94" s="241">
        <f>'FY27'!AF94</f>
        <v>209100.3</v>
      </c>
      <c r="V94" s="241">
        <f>'FY28'!AF94</f>
        <v>211191.30299999999</v>
      </c>
      <c r="W94" s="241">
        <f>'FY29'!AF94</f>
        <v>213303.21602999998</v>
      </c>
      <c r="X94" s="241">
        <f>'FY30'!AF94</f>
        <v>215436.24819029999</v>
      </c>
      <c r="Z94" s="241">
        <f>'FY26'!AN94</f>
        <v>433000</v>
      </c>
      <c r="AA94" s="241">
        <f>'FY27'!AN94</f>
        <v>437330</v>
      </c>
      <c r="AB94" s="241">
        <f>'FY28'!AN94</f>
        <v>441703.3</v>
      </c>
      <c r="AC94" s="241">
        <f>'FY29'!AN94</f>
        <v>446120.33299999998</v>
      </c>
      <c r="AD94" s="241">
        <f>'FY30'!AN94</f>
        <v>450581.53632999997</v>
      </c>
      <c r="AF94" s="241">
        <f>'FY26'!AV94</f>
        <v>0</v>
      </c>
      <c r="AG94" s="241">
        <f>'FY27'!AV94</f>
        <v>90000</v>
      </c>
      <c r="AH94" s="241">
        <f>'FY28'!AV94</f>
        <v>90900</v>
      </c>
      <c r="AI94" s="241">
        <f>'FY29'!AV94</f>
        <v>183618</v>
      </c>
      <c r="AJ94" s="241">
        <f>'FY30'!AV94</f>
        <v>185454.18</v>
      </c>
      <c r="AL94" s="241">
        <f>'FY26'!BD94</f>
        <v>0</v>
      </c>
      <c r="AM94" s="241">
        <f>'FY27'!BD94</f>
        <v>0</v>
      </c>
      <c r="AN94" s="241">
        <f>'FY28'!BD94</f>
        <v>0</v>
      </c>
      <c r="AO94" s="241">
        <f>'FY29'!BD94</f>
        <v>0</v>
      </c>
      <c r="AP94" s="241">
        <f>'FY30'!BD94</f>
        <v>0</v>
      </c>
      <c r="AR94" s="241">
        <f>'FY26'!BL94</f>
        <v>95200</v>
      </c>
      <c r="AS94" s="241">
        <f>'FY27'!BL94</f>
        <v>96152</v>
      </c>
      <c r="AT94" s="241">
        <f>'FY28'!BL94</f>
        <v>97113.52</v>
      </c>
      <c r="AU94" s="241">
        <f>'FY29'!BL94</f>
        <v>98084.655200000008</v>
      </c>
      <c r="AV94" s="241">
        <f>'FY30'!BL94</f>
        <v>99065.501752000011</v>
      </c>
      <c r="AX94" s="241">
        <f>'FY26'!BT94</f>
        <v>1981595</v>
      </c>
      <c r="AY94" s="241">
        <f>'FY27'!BT94</f>
        <v>2091410.95</v>
      </c>
      <c r="AZ94" s="241">
        <f>'FY28'!BT94</f>
        <v>2112325.0595000004</v>
      </c>
      <c r="BA94" s="241">
        <f>'FY29'!BT94</f>
        <v>2225257.3100949996</v>
      </c>
      <c r="BB94" s="241">
        <f>'FY30'!BT94</f>
        <v>2247509.8831959502</v>
      </c>
    </row>
    <row r="95" spans="1:54" x14ac:dyDescent="0.25">
      <c r="A95" s="201" t="s">
        <v>195</v>
      </c>
      <c r="B95" s="241">
        <f>'FY26'!H95</f>
        <v>0</v>
      </c>
      <c r="C95" s="241">
        <f>'FY27'!H95</f>
        <v>0</v>
      </c>
      <c r="D95" s="241">
        <f>'FY28'!H95</f>
        <v>0</v>
      </c>
      <c r="E95" s="241">
        <f>'FY29'!H95</f>
        <v>0</v>
      </c>
      <c r="F95" s="241">
        <f>'FY30'!H95</f>
        <v>0</v>
      </c>
      <c r="H95" s="241">
        <f>'FY26'!P95</f>
        <v>397500</v>
      </c>
      <c r="I95" s="241">
        <f>'FY27'!P95</f>
        <v>401475</v>
      </c>
      <c r="J95" s="241">
        <f>'FY28'!P95</f>
        <v>405489.75</v>
      </c>
      <c r="K95" s="241">
        <f>'FY29'!P95</f>
        <v>409544.64750000002</v>
      </c>
      <c r="L95" s="241">
        <f>'FY30'!P95</f>
        <v>413640.09397500003</v>
      </c>
      <c r="N95" s="241">
        <f>'FY26'!X95</f>
        <v>87000</v>
      </c>
      <c r="O95" s="241">
        <f>'FY27'!X95</f>
        <v>87870</v>
      </c>
      <c r="P95" s="241">
        <f>'FY28'!X95</f>
        <v>88748.7</v>
      </c>
      <c r="Q95" s="241">
        <f>'FY29'!X95</f>
        <v>89636.186999999991</v>
      </c>
      <c r="R95" s="241">
        <f>'FY30'!X95</f>
        <v>90532.548869999999</v>
      </c>
      <c r="T95" s="241">
        <f>'FY26'!AF95</f>
        <v>82400</v>
      </c>
      <c r="U95" s="241">
        <f>'FY27'!AF95</f>
        <v>83224</v>
      </c>
      <c r="V95" s="241">
        <f>'FY28'!AF95</f>
        <v>84056.24</v>
      </c>
      <c r="W95" s="241">
        <f>'FY29'!AF95</f>
        <v>84896.8024</v>
      </c>
      <c r="X95" s="241">
        <f>'FY30'!AF95</f>
        <v>85745.770424000002</v>
      </c>
      <c r="Z95" s="241">
        <f>'FY26'!AN95</f>
        <v>319500</v>
      </c>
      <c r="AA95" s="241">
        <f>'FY27'!AN95</f>
        <v>322695</v>
      </c>
      <c r="AB95" s="241">
        <f>'FY28'!AN95</f>
        <v>325921.95</v>
      </c>
      <c r="AC95" s="241">
        <f>'FY29'!AN95</f>
        <v>329181.16950000002</v>
      </c>
      <c r="AD95" s="241">
        <f>'FY30'!AN95</f>
        <v>332472.981195</v>
      </c>
      <c r="AF95" s="241">
        <f>'FY26'!AV95</f>
        <v>0</v>
      </c>
      <c r="AG95" s="241">
        <f>'FY27'!AV95</f>
        <v>0</v>
      </c>
      <c r="AH95" s="241">
        <f>'FY28'!AV95</f>
        <v>0</v>
      </c>
      <c r="AI95" s="241">
        <f>'FY29'!AV95</f>
        <v>0</v>
      </c>
      <c r="AJ95" s="241">
        <f>'FY30'!AV95</f>
        <v>0</v>
      </c>
      <c r="AL95" s="241">
        <f>'FY26'!BD95</f>
        <v>0</v>
      </c>
      <c r="AM95" s="241">
        <f>'FY27'!BD95</f>
        <v>0</v>
      </c>
      <c r="AN95" s="241">
        <f>'FY28'!BD95</f>
        <v>0</v>
      </c>
      <c r="AO95" s="241">
        <f>'FY29'!BD95</f>
        <v>0</v>
      </c>
      <c r="AP95" s="241">
        <f>'FY30'!BD95</f>
        <v>0</v>
      </c>
      <c r="AR95" s="241">
        <f>'FY26'!BL95</f>
        <v>0</v>
      </c>
      <c r="AS95" s="241">
        <f>'FY27'!BL95</f>
        <v>0</v>
      </c>
      <c r="AT95" s="241">
        <f>'FY28'!BL95</f>
        <v>0</v>
      </c>
      <c r="AU95" s="241">
        <f>'FY29'!BL95</f>
        <v>0</v>
      </c>
      <c r="AV95" s="241">
        <f>'FY30'!BL95</f>
        <v>0</v>
      </c>
      <c r="AX95" s="241">
        <f>'FY26'!BT95</f>
        <v>886400</v>
      </c>
      <c r="AY95" s="241">
        <f>'FY27'!BT95</f>
        <v>895264</v>
      </c>
      <c r="AZ95" s="241">
        <f>'FY28'!BT95</f>
        <v>904216.64000000013</v>
      </c>
      <c r="BA95" s="241">
        <f>'FY29'!BT95</f>
        <v>913258.80640000012</v>
      </c>
      <c r="BB95" s="241">
        <f>'FY30'!BT95</f>
        <v>922391.39446400001</v>
      </c>
    </row>
    <row r="96" spans="1:54" x14ac:dyDescent="0.25">
      <c r="A96" s="201" t="s">
        <v>233</v>
      </c>
      <c r="B96" s="241">
        <f>'FY26'!H96</f>
        <v>0</v>
      </c>
      <c r="C96" s="241">
        <f>'FY27'!H96</f>
        <v>0</v>
      </c>
      <c r="D96" s="241">
        <f>'FY28'!H96</f>
        <v>0</v>
      </c>
      <c r="E96" s="241">
        <f>'FY29'!H96</f>
        <v>0</v>
      </c>
      <c r="F96" s="241">
        <f>'FY30'!H96</f>
        <v>0</v>
      </c>
      <c r="H96" s="241">
        <f>'FY26'!P96</f>
        <v>76750</v>
      </c>
      <c r="I96" s="241">
        <f>'FY27'!P96</f>
        <v>77517.5</v>
      </c>
      <c r="J96" s="241">
        <f>'FY28'!P96</f>
        <v>78292.675000000003</v>
      </c>
      <c r="K96" s="241">
        <f>'FY29'!P96</f>
        <v>79075.601750000002</v>
      </c>
      <c r="L96" s="241">
        <f>'FY30'!P96</f>
        <v>79866.357767499998</v>
      </c>
      <c r="N96" s="241">
        <f>'FY26'!X96</f>
        <v>0</v>
      </c>
      <c r="O96" s="241">
        <f>'FY27'!X96</f>
        <v>0</v>
      </c>
      <c r="P96" s="241">
        <f>'FY28'!X96</f>
        <v>0</v>
      </c>
      <c r="Q96" s="241">
        <f>'FY29'!X96</f>
        <v>0</v>
      </c>
      <c r="R96" s="241">
        <f>'FY30'!X96</f>
        <v>0</v>
      </c>
      <c r="T96" s="241">
        <f>'FY26'!AF96</f>
        <v>0</v>
      </c>
      <c r="U96" s="241">
        <f>'FY27'!AF96</f>
        <v>0</v>
      </c>
      <c r="V96" s="241">
        <f>'FY28'!AF96</f>
        <v>0</v>
      </c>
      <c r="W96" s="241">
        <f>'FY29'!AF96</f>
        <v>0</v>
      </c>
      <c r="X96" s="241">
        <f>'FY30'!AF96</f>
        <v>0</v>
      </c>
      <c r="Z96" s="241">
        <f>'FY26'!AN96</f>
        <v>0</v>
      </c>
      <c r="AA96" s="241">
        <f>'FY27'!AN96</f>
        <v>0</v>
      </c>
      <c r="AB96" s="241">
        <f>'FY28'!AN96</f>
        <v>0</v>
      </c>
      <c r="AC96" s="241">
        <f>'FY29'!AN96</f>
        <v>0</v>
      </c>
      <c r="AD96" s="241">
        <f>'FY30'!AN96</f>
        <v>0</v>
      </c>
      <c r="AF96" s="241">
        <f>'FY26'!AV96</f>
        <v>0</v>
      </c>
      <c r="AG96" s="241">
        <f>'FY27'!AV96</f>
        <v>0</v>
      </c>
      <c r="AH96" s="241">
        <f>'FY28'!AV96</f>
        <v>0</v>
      </c>
      <c r="AI96" s="241">
        <f>'FY29'!AV96</f>
        <v>0</v>
      </c>
      <c r="AJ96" s="241">
        <f>'FY30'!AV96</f>
        <v>0</v>
      </c>
      <c r="AL96" s="241">
        <f>'FY26'!BD96</f>
        <v>0</v>
      </c>
      <c r="AM96" s="241">
        <f>'FY27'!BD96</f>
        <v>0</v>
      </c>
      <c r="AN96" s="241">
        <f>'FY28'!BD96</f>
        <v>0</v>
      </c>
      <c r="AO96" s="241">
        <f>'FY29'!BD96</f>
        <v>0</v>
      </c>
      <c r="AP96" s="241">
        <f>'FY30'!BD96</f>
        <v>0</v>
      </c>
      <c r="AR96" s="241">
        <f>'FY26'!BL96</f>
        <v>0</v>
      </c>
      <c r="AS96" s="241">
        <f>'FY27'!BL96</f>
        <v>0</v>
      </c>
      <c r="AT96" s="241">
        <f>'FY28'!BL96</f>
        <v>0</v>
      </c>
      <c r="AU96" s="241">
        <f>'FY29'!BL96</f>
        <v>0</v>
      </c>
      <c r="AV96" s="241">
        <f>'FY30'!BL96</f>
        <v>0</v>
      </c>
      <c r="AX96" s="241">
        <f>'FY26'!BT96</f>
        <v>76750</v>
      </c>
      <c r="AY96" s="241">
        <f>'FY27'!BT96</f>
        <v>77517.5</v>
      </c>
      <c r="AZ96" s="241">
        <f>'FY28'!BT96</f>
        <v>78292.675000000003</v>
      </c>
      <c r="BA96" s="241">
        <f>'FY29'!BT96</f>
        <v>79075.601750000002</v>
      </c>
      <c r="BB96" s="241">
        <f>'FY30'!BT96</f>
        <v>79866.357767499998</v>
      </c>
    </row>
    <row r="97" spans="1:54" x14ac:dyDescent="0.25">
      <c r="A97" s="201" t="s">
        <v>234</v>
      </c>
      <c r="B97" s="241">
        <f>'FY26'!H97</f>
        <v>0</v>
      </c>
      <c r="C97" s="241">
        <f>'FY27'!H97</f>
        <v>0</v>
      </c>
      <c r="D97" s="241">
        <f>'FY28'!H97</f>
        <v>0</v>
      </c>
      <c r="E97" s="241">
        <f>'FY29'!H97</f>
        <v>0</v>
      </c>
      <c r="F97" s="241">
        <f>'FY30'!H97</f>
        <v>0</v>
      </c>
      <c r="H97" s="241">
        <f>'FY26'!P97</f>
        <v>301160</v>
      </c>
      <c r="I97" s="241">
        <f>'FY27'!P97</f>
        <v>304171.59999999998</v>
      </c>
      <c r="J97" s="241">
        <f>'FY28'!P97</f>
        <v>307213.31599999999</v>
      </c>
      <c r="K97" s="241">
        <f>'FY29'!P97</f>
        <v>310285.44916000002</v>
      </c>
      <c r="L97" s="241">
        <f>'FY30'!P97</f>
        <v>313388.30365160003</v>
      </c>
      <c r="N97" s="241">
        <f>'FY26'!X97</f>
        <v>0</v>
      </c>
      <c r="O97" s="241">
        <f>'FY27'!X97</f>
        <v>0</v>
      </c>
      <c r="P97" s="241">
        <f>'FY28'!X97</f>
        <v>0</v>
      </c>
      <c r="Q97" s="241">
        <f>'FY29'!X97</f>
        <v>0</v>
      </c>
      <c r="R97" s="241">
        <f>'FY30'!X97</f>
        <v>0</v>
      </c>
      <c r="T97" s="241">
        <f>'FY26'!AF97</f>
        <v>0</v>
      </c>
      <c r="U97" s="241">
        <f>'FY27'!AF97</f>
        <v>0</v>
      </c>
      <c r="V97" s="241">
        <f>'FY28'!AF97</f>
        <v>0</v>
      </c>
      <c r="W97" s="241">
        <f>'FY29'!AF97</f>
        <v>0</v>
      </c>
      <c r="X97" s="241">
        <f>'FY30'!AF97</f>
        <v>0</v>
      </c>
      <c r="Z97" s="241">
        <f>'FY26'!AN97</f>
        <v>235500</v>
      </c>
      <c r="AA97" s="241">
        <f>'FY27'!AN97</f>
        <v>237855</v>
      </c>
      <c r="AB97" s="241">
        <f>'FY28'!AN97</f>
        <v>240233.55</v>
      </c>
      <c r="AC97" s="241">
        <f>'FY29'!AN97</f>
        <v>242635.8855</v>
      </c>
      <c r="AD97" s="241">
        <f>'FY30'!AN97</f>
        <v>245062.244355</v>
      </c>
      <c r="AF97" s="241">
        <f>'FY26'!AV97</f>
        <v>0</v>
      </c>
      <c r="AG97" s="241">
        <f>'FY27'!AV97</f>
        <v>0</v>
      </c>
      <c r="AH97" s="241">
        <f>'FY28'!AV97</f>
        <v>0</v>
      </c>
      <c r="AI97" s="241">
        <f>'FY29'!AV97</f>
        <v>0</v>
      </c>
      <c r="AJ97" s="241">
        <f>'FY30'!AV97</f>
        <v>0</v>
      </c>
      <c r="AL97" s="241">
        <f>'FY26'!BD97</f>
        <v>0</v>
      </c>
      <c r="AM97" s="241">
        <f>'FY27'!BD97</f>
        <v>0</v>
      </c>
      <c r="AN97" s="241">
        <f>'FY28'!BD97</f>
        <v>0</v>
      </c>
      <c r="AO97" s="241">
        <f>'FY29'!BD97</f>
        <v>0</v>
      </c>
      <c r="AP97" s="241">
        <f>'FY30'!BD97</f>
        <v>0</v>
      </c>
      <c r="AR97" s="241">
        <f>'FY26'!BL97</f>
        <v>0</v>
      </c>
      <c r="AS97" s="241">
        <f>'FY27'!BL97</f>
        <v>0</v>
      </c>
      <c r="AT97" s="241">
        <f>'FY28'!BL97</f>
        <v>0</v>
      </c>
      <c r="AU97" s="241">
        <f>'FY29'!BL97</f>
        <v>0</v>
      </c>
      <c r="AV97" s="241">
        <f>'FY30'!BL97</f>
        <v>0</v>
      </c>
      <c r="AX97" s="241">
        <f>'FY26'!BT97</f>
        <v>536660</v>
      </c>
      <c r="AY97" s="241">
        <f>'FY27'!BT97</f>
        <v>542026.6</v>
      </c>
      <c r="AZ97" s="241">
        <f>'FY28'!BT97</f>
        <v>547446.86599999992</v>
      </c>
      <c r="BA97" s="241">
        <f>'FY29'!BT97</f>
        <v>552921.33466000005</v>
      </c>
      <c r="BB97" s="241">
        <f>'FY30'!BT97</f>
        <v>558450.5480066</v>
      </c>
    </row>
    <row r="98" spans="1:54" x14ac:dyDescent="0.25">
      <c r="A98" s="201" t="s">
        <v>235</v>
      </c>
      <c r="B98" s="241">
        <f>'FY26'!H98</f>
        <v>139000</v>
      </c>
      <c r="C98" s="241">
        <f>'FY27'!H98</f>
        <v>140390</v>
      </c>
      <c r="D98" s="241">
        <f>'FY28'!H98</f>
        <v>141793.9</v>
      </c>
      <c r="E98" s="241">
        <f>'FY29'!H98</f>
        <v>143211.83900000001</v>
      </c>
      <c r="F98" s="241">
        <f>'FY30'!H98</f>
        <v>144643.95739</v>
      </c>
      <c r="H98" s="241">
        <f>'FY26'!P98</f>
        <v>317835</v>
      </c>
      <c r="I98" s="241">
        <f>'FY27'!P98</f>
        <v>321013.34999999998</v>
      </c>
      <c r="J98" s="241">
        <f>'FY28'!P98</f>
        <v>324223.48349999997</v>
      </c>
      <c r="K98" s="241">
        <f>'FY29'!P98</f>
        <v>327465.71833499998</v>
      </c>
      <c r="L98" s="241">
        <f>'FY30'!P98</f>
        <v>330740.37551834999</v>
      </c>
      <c r="N98" s="241">
        <f>'FY26'!X98</f>
        <v>126000</v>
      </c>
      <c r="O98" s="241">
        <f>'FY27'!X98</f>
        <v>127260</v>
      </c>
      <c r="P98" s="241">
        <f>'FY28'!X98</f>
        <v>128532.6</v>
      </c>
      <c r="Q98" s="241">
        <f>'FY29'!X98</f>
        <v>129817.92600000001</v>
      </c>
      <c r="R98" s="241">
        <f>'FY30'!X98</f>
        <v>131116.10526000001</v>
      </c>
      <c r="T98" s="241">
        <f>'FY26'!AF98</f>
        <v>112326</v>
      </c>
      <c r="U98" s="241">
        <f>'FY27'!AF98</f>
        <v>113449.26</v>
      </c>
      <c r="V98" s="241">
        <f>'FY28'!AF98</f>
        <v>114583.75259999999</v>
      </c>
      <c r="W98" s="241">
        <f>'FY29'!AF98</f>
        <v>115729.590126</v>
      </c>
      <c r="X98" s="241">
        <f>'FY30'!AF98</f>
        <v>116886.88602726</v>
      </c>
      <c r="Z98" s="241">
        <f>'FY26'!AN98</f>
        <v>220500</v>
      </c>
      <c r="AA98" s="241">
        <f>'FY27'!AN98</f>
        <v>222745</v>
      </c>
      <c r="AB98" s="241">
        <f>'FY28'!AN98</f>
        <v>225008.45</v>
      </c>
      <c r="AC98" s="241">
        <f>'FY29'!AN98</f>
        <v>227290.53450000001</v>
      </c>
      <c r="AD98" s="241">
        <f>'FY30'!AN98</f>
        <v>229591.43984500002</v>
      </c>
      <c r="AF98" s="241">
        <f>'FY26'!AV98</f>
        <v>57000</v>
      </c>
      <c r="AG98" s="241">
        <f>'FY27'!AV98</f>
        <v>92770</v>
      </c>
      <c r="AH98" s="241">
        <f>'FY28'!AV98</f>
        <v>105645.7</v>
      </c>
      <c r="AI98" s="241">
        <f>'FY29'!AV98</f>
        <v>106702.15700000001</v>
      </c>
      <c r="AJ98" s="241">
        <f>'FY30'!AV98</f>
        <v>107769.17856999999</v>
      </c>
      <c r="AL98" s="241">
        <f>'FY26'!BD98</f>
        <v>0</v>
      </c>
      <c r="AM98" s="241">
        <f>'FY27'!BD98</f>
        <v>0</v>
      </c>
      <c r="AN98" s="241">
        <f>'FY28'!BD98</f>
        <v>0</v>
      </c>
      <c r="AO98" s="241">
        <f>'FY29'!BD98</f>
        <v>0</v>
      </c>
      <c r="AP98" s="241">
        <f>'FY30'!BD98</f>
        <v>0</v>
      </c>
      <c r="AR98" s="241">
        <f>'FY26'!BL98</f>
        <v>95200</v>
      </c>
      <c r="AS98" s="241">
        <f>'FY27'!BL98</f>
        <v>96152</v>
      </c>
      <c r="AT98" s="241">
        <f>'FY28'!BL98</f>
        <v>97113.52</v>
      </c>
      <c r="AU98" s="241">
        <f>'FY29'!BL98</f>
        <v>98084.655200000008</v>
      </c>
      <c r="AV98" s="241">
        <f>'FY30'!BL98</f>
        <v>99065.501752000011</v>
      </c>
      <c r="AX98" s="241">
        <f>'FY26'!BT98</f>
        <v>1067861</v>
      </c>
      <c r="AY98" s="241">
        <f>'FY27'!BT98</f>
        <v>1113779.6099999999</v>
      </c>
      <c r="AZ98" s="241">
        <f>'FY28'!BT98</f>
        <v>1136901.4061</v>
      </c>
      <c r="BA98" s="241">
        <f>'FY29'!BT98</f>
        <v>1148302.420161</v>
      </c>
      <c r="BB98" s="241">
        <f>'FY30'!BT98</f>
        <v>1159813.4443626101</v>
      </c>
    </row>
    <row r="99" spans="1:54" x14ac:dyDescent="0.25">
      <c r="A99" s="201" t="s">
        <v>236</v>
      </c>
      <c r="B99" s="241">
        <f>'FY26'!H99</f>
        <v>95760</v>
      </c>
      <c r="C99" s="241">
        <f>'FY27'!H99</f>
        <v>96900</v>
      </c>
      <c r="D99" s="241">
        <f>'FY28'!H99</f>
        <v>98040</v>
      </c>
      <c r="E99" s="241">
        <f>'FY29'!H99</f>
        <v>99180</v>
      </c>
      <c r="F99" s="241">
        <f>'FY30'!H99</f>
        <v>100320</v>
      </c>
      <c r="H99" s="241">
        <f>'FY26'!P99</f>
        <v>188419.20000000001</v>
      </c>
      <c r="I99" s="241">
        <f>'FY27'!P99</f>
        <v>191520</v>
      </c>
      <c r="J99" s="241">
        <f>'FY28'!P99</f>
        <v>193800</v>
      </c>
      <c r="K99" s="241">
        <f>'FY29'!P99</f>
        <v>163400</v>
      </c>
      <c r="L99" s="241">
        <f>'FY30'!P99</f>
        <v>132240</v>
      </c>
      <c r="N99" s="241">
        <f>'FY26'!X99</f>
        <v>100320</v>
      </c>
      <c r="O99" s="241">
        <f>'FY27'!X99</f>
        <v>101460</v>
      </c>
      <c r="P99" s="241">
        <f>'FY28'!X99</f>
        <v>102600</v>
      </c>
      <c r="Q99" s="241">
        <f>'FY29'!X99</f>
        <v>69160</v>
      </c>
      <c r="R99" s="241">
        <f>'FY30'!X99</f>
        <v>69920</v>
      </c>
      <c r="T99" s="241">
        <f>'FY26'!AF99</f>
        <v>71668.75</v>
      </c>
      <c r="U99" s="241">
        <f>'FY27'!AF99</f>
        <v>72475.625</v>
      </c>
      <c r="V99" s="241">
        <f>'FY28'!AF99</f>
        <v>73287.100000000006</v>
      </c>
      <c r="W99" s="241">
        <f>'FY29'!AF99</f>
        <v>74103.22099999999</v>
      </c>
      <c r="X99" s="241">
        <f>'FY30'!AF99</f>
        <v>74924.034459999995</v>
      </c>
      <c r="Z99" s="241">
        <f>'FY26'!AN99</f>
        <v>228760</v>
      </c>
      <c r="AA99" s="241">
        <f>'FY27'!AN99</f>
        <v>198360</v>
      </c>
      <c r="AB99" s="241">
        <f>'FY28'!AN99</f>
        <v>200640</v>
      </c>
      <c r="AC99" s="241">
        <f>'FY29'!AN99</f>
        <v>169100</v>
      </c>
      <c r="AD99" s="241">
        <f>'FY30'!AN99</f>
        <v>136800</v>
      </c>
      <c r="AF99" s="241">
        <f>'FY26'!AV99</f>
        <v>81920</v>
      </c>
      <c r="AG99" s="241">
        <f>'FY27'!AV99</f>
        <v>32300</v>
      </c>
      <c r="AH99" s="241">
        <f>'FY28'!AV99</f>
        <v>65360</v>
      </c>
      <c r="AI99" s="241">
        <f>'FY29'!AV99</f>
        <v>66120</v>
      </c>
      <c r="AJ99" s="241">
        <f>'FY30'!AV99</f>
        <v>66880</v>
      </c>
      <c r="AL99" s="241">
        <f>'FY26'!BD99</f>
        <v>0</v>
      </c>
      <c r="AM99" s="241">
        <f>'FY27'!BD99</f>
        <v>0</v>
      </c>
      <c r="AN99" s="241">
        <f>'FY28'!BD99</f>
        <v>0</v>
      </c>
      <c r="AO99" s="241">
        <f>'FY29'!BD99</f>
        <v>0</v>
      </c>
      <c r="AP99" s="241">
        <f>'FY30'!BD99</f>
        <v>0</v>
      </c>
      <c r="AR99" s="241">
        <f>'FY26'!BL99</f>
        <v>47050</v>
      </c>
      <c r="AS99" s="241">
        <f>'FY27'!BL99</f>
        <v>47520.5</v>
      </c>
      <c r="AT99" s="241">
        <f>'FY28'!BL99</f>
        <v>47995.705000000002</v>
      </c>
      <c r="AU99" s="241">
        <f>'FY29'!BL99</f>
        <v>48475.662049999999</v>
      </c>
      <c r="AV99" s="241">
        <f>'FY30'!BL99</f>
        <v>48960.418670500003</v>
      </c>
      <c r="AX99" s="241">
        <f>'FY26'!BT99</f>
        <v>813897.95</v>
      </c>
      <c r="AY99" s="241">
        <f>'FY27'!BT99</f>
        <v>740536.125</v>
      </c>
      <c r="AZ99" s="241">
        <f>'FY28'!BT99</f>
        <v>781722.80499999993</v>
      </c>
      <c r="BA99" s="241">
        <f>'FY29'!BT99</f>
        <v>689538.88305000006</v>
      </c>
      <c r="BB99" s="241">
        <f>'FY30'!BT99</f>
        <v>630044.45313050004</v>
      </c>
    </row>
    <row r="100" spans="1:54" x14ac:dyDescent="0.25">
      <c r="A100" s="201" t="s">
        <v>324</v>
      </c>
      <c r="B100" s="241">
        <f>'FY26'!H100</f>
        <v>0</v>
      </c>
      <c r="C100" s="241">
        <f>'FY27'!H100</f>
        <v>0</v>
      </c>
      <c r="D100" s="241">
        <f>'FY28'!H100</f>
        <v>0</v>
      </c>
      <c r="E100" s="241">
        <f>'FY29'!H100</f>
        <v>0</v>
      </c>
      <c r="F100" s="241">
        <f>'FY30'!H100</f>
        <v>0</v>
      </c>
      <c r="H100" s="241">
        <f>'FY26'!P100</f>
        <v>43900</v>
      </c>
      <c r="I100" s="241">
        <f>'FY27'!P100</f>
        <v>44339</v>
      </c>
      <c r="J100" s="241">
        <f>'FY28'!P100</f>
        <v>44782.39</v>
      </c>
      <c r="K100" s="241">
        <f>'FY29'!P100</f>
        <v>45230.213900000002</v>
      </c>
      <c r="L100" s="241">
        <f>'FY30'!P100</f>
        <v>45682.516039000002</v>
      </c>
      <c r="N100" s="241">
        <f>'FY26'!X100</f>
        <v>41925</v>
      </c>
      <c r="O100" s="241">
        <f>'FY27'!X100</f>
        <v>42328.125</v>
      </c>
      <c r="P100" s="241">
        <f>'FY28'!X100</f>
        <v>42731.25</v>
      </c>
      <c r="Q100" s="241">
        <f>'FY29'!X100</f>
        <v>43134.375</v>
      </c>
      <c r="R100" s="241">
        <f>'FY30'!X100</f>
        <v>43537.5</v>
      </c>
      <c r="T100" s="241">
        <f>'FY26'!AF100</f>
        <v>0</v>
      </c>
      <c r="U100" s="241">
        <f>'FY27'!AF100</f>
        <v>0</v>
      </c>
      <c r="V100" s="241">
        <f>'FY28'!AF100</f>
        <v>0</v>
      </c>
      <c r="W100" s="241">
        <f>'FY29'!AF100</f>
        <v>0</v>
      </c>
      <c r="X100" s="241">
        <f>'FY30'!AF100</f>
        <v>0</v>
      </c>
      <c r="Z100" s="241">
        <f>'FY26'!AN100</f>
        <v>50500</v>
      </c>
      <c r="AA100" s="241">
        <f>'FY27'!AN100</f>
        <v>51005</v>
      </c>
      <c r="AB100" s="241">
        <f>'FY28'!AN100</f>
        <v>51515.05</v>
      </c>
      <c r="AC100" s="241">
        <f>'FY29'!AN100</f>
        <v>52030.200500000006</v>
      </c>
      <c r="AD100" s="241">
        <f>'FY30'!AN100</f>
        <v>52550.502505000004</v>
      </c>
      <c r="AF100" s="241">
        <f>'FY26'!AV100</f>
        <v>0</v>
      </c>
      <c r="AG100" s="241">
        <f>'FY27'!AV100</f>
        <v>0</v>
      </c>
      <c r="AH100" s="241">
        <f>'FY28'!AV100</f>
        <v>0</v>
      </c>
      <c r="AI100" s="241">
        <f>'FY29'!AV100</f>
        <v>0</v>
      </c>
      <c r="AJ100" s="241">
        <f>'FY30'!AV100</f>
        <v>0</v>
      </c>
      <c r="AL100" s="241">
        <f>'FY26'!BD100</f>
        <v>0</v>
      </c>
      <c r="AM100" s="241">
        <f>'FY27'!BD100</f>
        <v>0</v>
      </c>
      <c r="AN100" s="241">
        <f>'FY28'!BD100</f>
        <v>0</v>
      </c>
      <c r="AO100" s="241">
        <f>'FY29'!BD100</f>
        <v>0</v>
      </c>
      <c r="AP100" s="241">
        <f>'FY30'!BD100</f>
        <v>0</v>
      </c>
      <c r="AR100" s="241">
        <f>'FY26'!BL100</f>
        <v>0</v>
      </c>
      <c r="AS100" s="241">
        <f>'FY27'!BL100</f>
        <v>0</v>
      </c>
      <c r="AT100" s="241">
        <f>'FY28'!BL100</f>
        <v>0</v>
      </c>
      <c r="AU100" s="241">
        <f>'FY29'!BL100</f>
        <v>0</v>
      </c>
      <c r="AV100" s="241">
        <f>'FY30'!BL100</f>
        <v>0</v>
      </c>
      <c r="AX100" s="241">
        <f>'FY26'!BT100</f>
        <v>136325</v>
      </c>
      <c r="AY100" s="241">
        <f>'FY27'!BT100</f>
        <v>137672.125</v>
      </c>
      <c r="AZ100" s="241">
        <f>'FY28'!BT100</f>
        <v>139028.69</v>
      </c>
      <c r="BA100" s="241">
        <f>'FY29'!BT100</f>
        <v>140394.78940000001</v>
      </c>
      <c r="BB100" s="241">
        <f>'FY30'!BT100</f>
        <v>141770.51854400002</v>
      </c>
    </row>
    <row r="101" spans="1:54" x14ac:dyDescent="0.25">
      <c r="A101" s="201" t="s">
        <v>237</v>
      </c>
      <c r="B101" s="241">
        <f>'FY26'!H101</f>
        <v>96000</v>
      </c>
      <c r="C101" s="241">
        <f>'FY27'!H101</f>
        <v>96960</v>
      </c>
      <c r="D101" s="241">
        <f>'FY28'!H101</f>
        <v>97920</v>
      </c>
      <c r="E101" s="241">
        <f>'FY29'!H101</f>
        <v>98880</v>
      </c>
      <c r="F101" s="241">
        <f>'FY30'!H101</f>
        <v>99840</v>
      </c>
      <c r="H101" s="241">
        <f>'FY26'!P101</f>
        <v>438243</v>
      </c>
      <c r="I101" s="241">
        <f>'FY27'!P101</f>
        <v>444676</v>
      </c>
      <c r="J101" s="241">
        <f>'FY28'!P101</f>
        <v>449583.57</v>
      </c>
      <c r="K101" s="241">
        <f>'FY29'!P101</f>
        <v>454501.81570000004</v>
      </c>
      <c r="L101" s="241">
        <f>'FY30'!P101</f>
        <v>459430.843857</v>
      </c>
      <c r="N101" s="241">
        <f>'FY26'!X101</f>
        <v>126720</v>
      </c>
      <c r="O101" s="241">
        <f>'FY27'!X101</f>
        <v>128160</v>
      </c>
      <c r="P101" s="241">
        <f>'FY28'!X101</f>
        <v>129600</v>
      </c>
      <c r="Q101" s="241">
        <f>'FY29'!X101</f>
        <v>131040</v>
      </c>
      <c r="R101" s="241">
        <f>'FY30'!X101</f>
        <v>132480</v>
      </c>
      <c r="T101" s="241">
        <f>'FY26'!AF101</f>
        <v>132480</v>
      </c>
      <c r="U101" s="241">
        <f>'FY27'!AF101</f>
        <v>133920</v>
      </c>
      <c r="V101" s="241">
        <f>'FY28'!AF101</f>
        <v>135360</v>
      </c>
      <c r="W101" s="241">
        <f>'FY29'!AF101</f>
        <v>136800</v>
      </c>
      <c r="X101" s="241">
        <f>'FY30'!AF101</f>
        <v>139680</v>
      </c>
      <c r="Z101" s="241">
        <f>'FY26'!AN101</f>
        <v>362784</v>
      </c>
      <c r="AA101" s="241">
        <f>'FY27'!AN101</f>
        <v>326304</v>
      </c>
      <c r="AB101" s="241">
        <f>'FY28'!AN101</f>
        <v>330144</v>
      </c>
      <c r="AC101" s="241">
        <f>'FY29'!AN101</f>
        <v>333984</v>
      </c>
      <c r="AD101" s="241">
        <f>'FY30'!AN101</f>
        <v>337824</v>
      </c>
      <c r="AF101" s="241">
        <f>'FY26'!AV101</f>
        <v>58520</v>
      </c>
      <c r="AG101" s="241">
        <f>'FY27'!AV101</f>
        <v>85600</v>
      </c>
      <c r="AH101" s="241">
        <f>'FY28'!AV101</f>
        <v>93700</v>
      </c>
      <c r="AI101" s="241">
        <f>'FY29'!AV101</f>
        <v>94685</v>
      </c>
      <c r="AJ101" s="241">
        <f>'FY30'!AV101</f>
        <v>95675.05</v>
      </c>
      <c r="AL101" s="241">
        <f>'FY26'!BD101</f>
        <v>0</v>
      </c>
      <c r="AM101" s="241">
        <f>'FY27'!BD101</f>
        <v>0</v>
      </c>
      <c r="AN101" s="241">
        <f>'FY28'!BD101</f>
        <v>0</v>
      </c>
      <c r="AO101" s="241">
        <f>'FY29'!BD101</f>
        <v>0</v>
      </c>
      <c r="AP101" s="241">
        <f>'FY30'!BD101</f>
        <v>0</v>
      </c>
      <c r="AR101" s="241">
        <f>'FY26'!BL101</f>
        <v>0</v>
      </c>
      <c r="AS101" s="241">
        <f>'FY27'!BL101</f>
        <v>0</v>
      </c>
      <c r="AT101" s="241">
        <f>'FY28'!BL101</f>
        <v>0</v>
      </c>
      <c r="AU101" s="241">
        <f>'FY29'!BL101</f>
        <v>0</v>
      </c>
      <c r="AV101" s="241">
        <f>'FY30'!BL101</f>
        <v>0</v>
      </c>
      <c r="AX101" s="241">
        <f>'FY26'!BT101</f>
        <v>1214747</v>
      </c>
      <c r="AY101" s="241">
        <f>'FY27'!BT101</f>
        <v>1215620</v>
      </c>
      <c r="AZ101" s="241">
        <f>'FY28'!BT101</f>
        <v>1236307.57</v>
      </c>
      <c r="BA101" s="241">
        <f>'FY29'!BT101</f>
        <v>1249890.8157000002</v>
      </c>
      <c r="BB101" s="241">
        <f>'FY30'!BT101</f>
        <v>1264929.8938570002</v>
      </c>
    </row>
    <row r="102" spans="1:54" x14ac:dyDescent="0.25">
      <c r="A102" s="201" t="s">
        <v>238</v>
      </c>
      <c r="B102" s="241">
        <f>'FY26'!H102</f>
        <v>61920</v>
      </c>
      <c r="C102" s="241">
        <f>'FY27'!H102</f>
        <v>62640</v>
      </c>
      <c r="D102" s="241">
        <f>'FY28'!H102</f>
        <v>63000</v>
      </c>
      <c r="E102" s="241">
        <f>'FY29'!H102</f>
        <v>63720</v>
      </c>
      <c r="F102" s="241">
        <f>'FY30'!H102</f>
        <v>64440</v>
      </c>
      <c r="H102" s="241">
        <f>'FY26'!P102</f>
        <v>160466.4</v>
      </c>
      <c r="I102" s="241">
        <f>'FY27'!P102</f>
        <v>163080</v>
      </c>
      <c r="J102" s="241">
        <f>'FY28'!P102</f>
        <v>164970</v>
      </c>
      <c r="K102" s="241">
        <f>'FY29'!P102</f>
        <v>166860</v>
      </c>
      <c r="L102" s="241">
        <f>'FY30'!P102</f>
        <v>168750</v>
      </c>
      <c r="N102" s="241">
        <f>'FY26'!X102</f>
        <v>68200</v>
      </c>
      <c r="O102" s="241">
        <f>'FY27'!X102</f>
        <v>68537.5</v>
      </c>
      <c r="P102" s="241">
        <f>'FY28'!X102</f>
        <v>68875</v>
      </c>
      <c r="Q102" s="241">
        <f>'FY29'!X102</f>
        <v>69212.5</v>
      </c>
      <c r="R102" s="241">
        <f>'FY30'!X102</f>
        <v>69550</v>
      </c>
      <c r="T102" s="241">
        <f>'FY26'!AF102</f>
        <v>61920</v>
      </c>
      <c r="U102" s="241">
        <f>'FY27'!AF102</f>
        <v>61920</v>
      </c>
      <c r="V102" s="241">
        <f>'FY28'!AF102</f>
        <v>62640</v>
      </c>
      <c r="W102" s="241">
        <f>'FY29'!AF102</f>
        <v>63360</v>
      </c>
      <c r="X102" s="241">
        <f>'FY30'!AF102</f>
        <v>63720</v>
      </c>
      <c r="Z102" s="241">
        <f>'FY26'!AN102</f>
        <v>95040</v>
      </c>
      <c r="AA102" s="241">
        <f>'FY27'!AN102</f>
        <v>96210</v>
      </c>
      <c r="AB102" s="241">
        <f>'FY28'!AN102</f>
        <v>97380</v>
      </c>
      <c r="AC102" s="241">
        <f>'FY29'!AN102</f>
        <v>98550</v>
      </c>
      <c r="AD102" s="241">
        <f>'FY30'!AN102</f>
        <v>99720</v>
      </c>
      <c r="AF102" s="241">
        <f>'FY26'!AV102</f>
        <v>28800</v>
      </c>
      <c r="AG102" s="241">
        <f>'FY27'!AV102</f>
        <v>29160</v>
      </c>
      <c r="AH102" s="241">
        <f>'FY28'!AV102</f>
        <v>29520</v>
      </c>
      <c r="AI102" s="241">
        <f>'FY29'!AV102</f>
        <v>29880</v>
      </c>
      <c r="AJ102" s="241">
        <f>'FY30'!AV102</f>
        <v>30240</v>
      </c>
      <c r="AL102" s="241">
        <f>'FY26'!BD102</f>
        <v>0</v>
      </c>
      <c r="AM102" s="241">
        <f>'FY27'!BD102</f>
        <v>0</v>
      </c>
      <c r="AN102" s="241">
        <f>'FY28'!BD102</f>
        <v>0</v>
      </c>
      <c r="AO102" s="241">
        <f>'FY29'!BD102</f>
        <v>0</v>
      </c>
      <c r="AP102" s="241">
        <f>'FY30'!BD102</f>
        <v>0</v>
      </c>
      <c r="AR102" s="241">
        <f>'FY26'!BL102</f>
        <v>25650</v>
      </c>
      <c r="AS102" s="241">
        <f>'FY27'!BL102</f>
        <v>25887.5</v>
      </c>
      <c r="AT102" s="241">
        <f>'FY28'!BL102</f>
        <v>26125</v>
      </c>
      <c r="AU102" s="241">
        <f>'FY29'!BL102</f>
        <v>26362.5</v>
      </c>
      <c r="AV102" s="241">
        <f>'FY30'!BL102</f>
        <v>26600</v>
      </c>
      <c r="AX102" s="241">
        <f>'FY26'!BT102</f>
        <v>501996.4</v>
      </c>
      <c r="AY102" s="241">
        <f>'FY27'!BT102</f>
        <v>507435</v>
      </c>
      <c r="AZ102" s="241">
        <f>'FY28'!BT102</f>
        <v>512510</v>
      </c>
      <c r="BA102" s="241">
        <f>'FY29'!BT102</f>
        <v>517945</v>
      </c>
      <c r="BB102" s="241">
        <f>'FY30'!BT102</f>
        <v>523020</v>
      </c>
    </row>
    <row r="103" spans="1:54" x14ac:dyDescent="0.25">
      <c r="A103" s="201" t="s">
        <v>239</v>
      </c>
      <c r="B103" s="241">
        <f>'FY26'!H103</f>
        <v>0</v>
      </c>
      <c r="C103" s="241">
        <f>'FY27'!H103</f>
        <v>0</v>
      </c>
      <c r="D103" s="241">
        <f>'FY28'!H103</f>
        <v>0</v>
      </c>
      <c r="E103" s="241">
        <f>'FY29'!H103</f>
        <v>0</v>
      </c>
      <c r="F103" s="241">
        <f>'FY30'!H103</f>
        <v>0</v>
      </c>
      <c r="H103" s="241">
        <f>'FY26'!P103</f>
        <v>0</v>
      </c>
      <c r="I103" s="241">
        <f>'FY27'!P103</f>
        <v>0</v>
      </c>
      <c r="J103" s="241">
        <f>'FY28'!P103</f>
        <v>0</v>
      </c>
      <c r="K103" s="241">
        <f>'FY29'!P103</f>
        <v>0</v>
      </c>
      <c r="L103" s="241">
        <f>'FY30'!P103</f>
        <v>0</v>
      </c>
      <c r="N103" s="241">
        <f>'FY26'!X103</f>
        <v>0</v>
      </c>
      <c r="O103" s="241">
        <f>'FY27'!X103</f>
        <v>0</v>
      </c>
      <c r="P103" s="241">
        <f>'FY28'!X103</f>
        <v>0</v>
      </c>
      <c r="Q103" s="241">
        <f>'FY29'!X103</f>
        <v>0</v>
      </c>
      <c r="R103" s="241">
        <f>'FY30'!X103</f>
        <v>0</v>
      </c>
      <c r="T103" s="241">
        <f>'FY26'!AF103</f>
        <v>25750</v>
      </c>
      <c r="U103" s="241">
        <f>'FY27'!AF103</f>
        <v>26007.5</v>
      </c>
      <c r="V103" s="241">
        <f>'FY28'!AF103</f>
        <v>26267.575000000001</v>
      </c>
      <c r="W103" s="241">
        <f>'FY29'!AF103</f>
        <v>26530.250749999999</v>
      </c>
      <c r="X103" s="241">
        <f>'FY30'!AF103</f>
        <v>26795.5532575</v>
      </c>
      <c r="Z103" s="241">
        <f>'FY26'!AN103</f>
        <v>49440</v>
      </c>
      <c r="AA103" s="241">
        <f>'FY27'!AN103</f>
        <v>49440</v>
      </c>
      <c r="AB103" s="241">
        <f>'FY28'!AN103</f>
        <v>50428.800000000003</v>
      </c>
      <c r="AC103" s="241">
        <f>'FY29'!AN103</f>
        <v>50933.088000000003</v>
      </c>
      <c r="AD103" s="241">
        <f>'FY30'!AN103</f>
        <v>51442.418880000005</v>
      </c>
      <c r="AF103" s="241">
        <f>'FY26'!AV103</f>
        <v>0</v>
      </c>
      <c r="AG103" s="241">
        <f>'FY27'!AV103</f>
        <v>0</v>
      </c>
      <c r="AH103" s="241">
        <f>'FY28'!AV103</f>
        <v>0</v>
      </c>
      <c r="AI103" s="241">
        <f>'FY29'!AV103</f>
        <v>0</v>
      </c>
      <c r="AJ103" s="241">
        <f>'FY30'!AV103</f>
        <v>0</v>
      </c>
      <c r="AL103" s="241">
        <f>'FY26'!BD103</f>
        <v>0</v>
      </c>
      <c r="AM103" s="241">
        <f>'FY27'!BD103</f>
        <v>0</v>
      </c>
      <c r="AN103" s="241">
        <f>'FY28'!BD103</f>
        <v>0</v>
      </c>
      <c r="AO103" s="241">
        <f>'FY29'!BD103</f>
        <v>0</v>
      </c>
      <c r="AP103" s="241">
        <f>'FY30'!BD103</f>
        <v>0</v>
      </c>
      <c r="AR103" s="241">
        <f>'FY26'!BL103</f>
        <v>0</v>
      </c>
      <c r="AS103" s="241">
        <f>'FY27'!BL103</f>
        <v>0</v>
      </c>
      <c r="AT103" s="241">
        <f>'FY28'!BL103</f>
        <v>0</v>
      </c>
      <c r="AU103" s="241">
        <f>'FY29'!BL103</f>
        <v>0</v>
      </c>
      <c r="AV103" s="241">
        <f>'FY30'!BL103</f>
        <v>0</v>
      </c>
      <c r="AX103" s="241">
        <f>'FY26'!BT103</f>
        <v>75190</v>
      </c>
      <c r="AY103" s="241">
        <f>'FY27'!BT103</f>
        <v>75447.5</v>
      </c>
      <c r="AZ103" s="241">
        <f>'FY28'!BT103</f>
        <v>76696.375</v>
      </c>
      <c r="BA103" s="241">
        <f>'FY29'!BT103</f>
        <v>77463.338749999995</v>
      </c>
      <c r="BB103" s="241">
        <f>'FY30'!BT103</f>
        <v>78237.972137500008</v>
      </c>
    </row>
    <row r="104" spans="1:54" x14ac:dyDescent="0.25">
      <c r="A104" s="201" t="s">
        <v>204</v>
      </c>
      <c r="B104" s="241">
        <f>'FY26'!H104</f>
        <v>79250</v>
      </c>
      <c r="C104" s="241">
        <f>'FY27'!H104</f>
        <v>80042.5</v>
      </c>
      <c r="D104" s="241">
        <f>'FY28'!H104</f>
        <v>80842.925000000003</v>
      </c>
      <c r="E104" s="241">
        <f>'FY29'!H104</f>
        <v>81651.354250000004</v>
      </c>
      <c r="F104" s="241">
        <f>'FY30'!H104</f>
        <v>82467.867792500008</v>
      </c>
      <c r="H104" s="241">
        <f>'FY26'!P104</f>
        <v>92700</v>
      </c>
      <c r="I104" s="241">
        <f>'FY27'!P104</f>
        <v>93627</v>
      </c>
      <c r="J104" s="241">
        <f>'FY28'!P104</f>
        <v>94563.27</v>
      </c>
      <c r="K104" s="241">
        <f>'FY29'!P104</f>
        <v>95508.902700000006</v>
      </c>
      <c r="L104" s="241">
        <f>'FY30'!P104</f>
        <v>96463.991727000001</v>
      </c>
      <c r="N104" s="241">
        <f>'FY26'!X104</f>
        <v>84400</v>
      </c>
      <c r="O104" s="241">
        <f>'FY27'!X104</f>
        <v>85244</v>
      </c>
      <c r="P104" s="241">
        <f>'FY28'!X104</f>
        <v>86096.44</v>
      </c>
      <c r="Q104" s="241">
        <f>'FY29'!X104</f>
        <v>86957.404399999999</v>
      </c>
      <c r="R104" s="241">
        <f>'FY30'!X104</f>
        <v>87826.978443999993</v>
      </c>
      <c r="T104" s="241">
        <f>'FY26'!AF104</f>
        <v>59225</v>
      </c>
      <c r="U104" s="241">
        <f>'FY27'!AF104</f>
        <v>59817.25</v>
      </c>
      <c r="V104" s="241">
        <f>'FY28'!AF104</f>
        <v>60415.422500000001</v>
      </c>
      <c r="W104" s="241">
        <f>'FY29'!AF104</f>
        <v>61019.576724999999</v>
      </c>
      <c r="X104" s="241">
        <f>'FY30'!AF104</f>
        <v>61629.772492249998</v>
      </c>
      <c r="Z104" s="241">
        <f>'FY26'!AN104</f>
        <v>0</v>
      </c>
      <c r="AA104" s="241">
        <f>'FY27'!AN104</f>
        <v>0</v>
      </c>
      <c r="AB104" s="241">
        <f>'FY28'!AN104</f>
        <v>0</v>
      </c>
      <c r="AC104" s="241">
        <f>'FY29'!AN104</f>
        <v>0</v>
      </c>
      <c r="AD104" s="241">
        <f>'FY30'!AN104</f>
        <v>0</v>
      </c>
      <c r="AF104" s="241">
        <f>'FY26'!AV104</f>
        <v>75000</v>
      </c>
      <c r="AG104" s="241">
        <f>'FY27'!AV104</f>
        <v>75750</v>
      </c>
      <c r="AH104" s="241">
        <f>'FY28'!AV104</f>
        <v>76507.5</v>
      </c>
      <c r="AI104" s="241">
        <f>'FY29'!AV104</f>
        <v>77272.574999999997</v>
      </c>
      <c r="AJ104" s="241">
        <f>'FY30'!AV104</f>
        <v>78045.300749999995</v>
      </c>
      <c r="AL104" s="241">
        <f>'FY26'!BD104</f>
        <v>0</v>
      </c>
      <c r="AM104" s="241">
        <f>'FY27'!BD104</f>
        <v>0</v>
      </c>
      <c r="AN104" s="241">
        <f>'FY28'!BD104</f>
        <v>0</v>
      </c>
      <c r="AO104" s="241">
        <f>'FY29'!BD104</f>
        <v>0</v>
      </c>
      <c r="AP104" s="241">
        <f>'FY30'!BD104</f>
        <v>0</v>
      </c>
      <c r="AR104" s="241">
        <f>'FY26'!BL104</f>
        <v>0</v>
      </c>
      <c r="AS104" s="241">
        <f>'FY27'!BL104</f>
        <v>0</v>
      </c>
      <c r="AT104" s="241">
        <f>'FY28'!BL104</f>
        <v>0</v>
      </c>
      <c r="AU104" s="241">
        <f>'FY29'!BL104</f>
        <v>0</v>
      </c>
      <c r="AV104" s="241">
        <f>'FY30'!BL104</f>
        <v>0</v>
      </c>
      <c r="AX104" s="241">
        <f>'FY26'!BT104</f>
        <v>390575</v>
      </c>
      <c r="AY104" s="241">
        <f>'FY27'!BT104</f>
        <v>394480.75</v>
      </c>
      <c r="AZ104" s="241">
        <f>'FY28'!BT104</f>
        <v>398425.5575</v>
      </c>
      <c r="BA104" s="241">
        <f>'FY29'!BT104</f>
        <v>402409.81307500001</v>
      </c>
      <c r="BB104" s="241">
        <f>'FY30'!BT104</f>
        <v>406433.91120575002</v>
      </c>
    </row>
    <row r="105" spans="1:54" x14ac:dyDescent="0.25">
      <c r="A105" s="201" t="s">
        <v>240</v>
      </c>
      <c r="B105" s="241">
        <f>'FY26'!H105</f>
        <v>0</v>
      </c>
      <c r="C105" s="241">
        <f>'FY27'!H105</f>
        <v>0</v>
      </c>
      <c r="D105" s="241">
        <f>'FY28'!H105</f>
        <v>0</v>
      </c>
      <c r="E105" s="241">
        <f>'FY29'!H105</f>
        <v>0</v>
      </c>
      <c r="F105" s="241">
        <f>'FY30'!H105</f>
        <v>0</v>
      </c>
      <c r="H105" s="241">
        <f>'FY26'!P105</f>
        <v>63860</v>
      </c>
      <c r="I105" s="241">
        <f>'FY27'!P105</f>
        <v>64498.6</v>
      </c>
      <c r="J105" s="241">
        <f>'FY28'!P105</f>
        <v>65143.585999999996</v>
      </c>
      <c r="K105" s="241">
        <f>'FY29'!P105</f>
        <v>65795.021859999993</v>
      </c>
      <c r="L105" s="241">
        <f>'FY30'!P105</f>
        <v>66452.972078599996</v>
      </c>
      <c r="N105" s="241">
        <f>'FY26'!X105</f>
        <v>0</v>
      </c>
      <c r="O105" s="241">
        <f>'FY27'!X105</f>
        <v>0</v>
      </c>
      <c r="P105" s="241">
        <f>'FY28'!X105</f>
        <v>0</v>
      </c>
      <c r="Q105" s="241">
        <f>'FY29'!X105</f>
        <v>0</v>
      </c>
      <c r="R105" s="241">
        <f>'FY30'!X105</f>
        <v>0</v>
      </c>
      <c r="T105" s="241">
        <f>'FY26'!AF105</f>
        <v>54848</v>
      </c>
      <c r="U105" s="241">
        <f>'FY27'!AF105</f>
        <v>55396.480000000003</v>
      </c>
      <c r="V105" s="241">
        <f>'FY28'!AF105</f>
        <v>55950.444800000005</v>
      </c>
      <c r="W105" s="241">
        <f>'FY29'!AF105</f>
        <v>56509.949248000004</v>
      </c>
      <c r="X105" s="241">
        <f>'FY30'!AF105</f>
        <v>57075.048740480008</v>
      </c>
      <c r="Z105" s="241">
        <f>'FY26'!AN105</f>
        <v>0</v>
      </c>
      <c r="AA105" s="241">
        <f>'FY27'!AN105</f>
        <v>0</v>
      </c>
      <c r="AB105" s="241">
        <f>'FY28'!AN105</f>
        <v>0</v>
      </c>
      <c r="AC105" s="241">
        <f>'FY29'!AN105</f>
        <v>0</v>
      </c>
      <c r="AD105" s="241">
        <f>'FY30'!AN105</f>
        <v>0</v>
      </c>
      <c r="AF105" s="241">
        <f>'FY26'!AV105</f>
        <v>0</v>
      </c>
      <c r="AG105" s="241">
        <f>'FY27'!AV105</f>
        <v>0</v>
      </c>
      <c r="AH105" s="241">
        <f>'FY28'!AV105</f>
        <v>0</v>
      </c>
      <c r="AI105" s="241">
        <f>'FY29'!AV105</f>
        <v>0</v>
      </c>
      <c r="AJ105" s="241">
        <f>'FY30'!AV105</f>
        <v>0</v>
      </c>
      <c r="AL105" s="241">
        <f>'FY26'!BD105</f>
        <v>0</v>
      </c>
      <c r="AM105" s="241">
        <f>'FY27'!BD105</f>
        <v>0</v>
      </c>
      <c r="AN105" s="241">
        <f>'FY28'!BD105</f>
        <v>0</v>
      </c>
      <c r="AO105" s="241">
        <f>'FY29'!BD105</f>
        <v>0</v>
      </c>
      <c r="AP105" s="241">
        <f>'FY30'!BD105</f>
        <v>0</v>
      </c>
      <c r="AR105" s="241">
        <f>'FY26'!BL105</f>
        <v>0</v>
      </c>
      <c r="AS105" s="241">
        <f>'FY27'!BL105</f>
        <v>0</v>
      </c>
      <c r="AT105" s="241">
        <f>'FY28'!BL105</f>
        <v>0</v>
      </c>
      <c r="AU105" s="241">
        <f>'FY29'!BL105</f>
        <v>0</v>
      </c>
      <c r="AV105" s="241">
        <f>'FY30'!BL105</f>
        <v>0</v>
      </c>
      <c r="AX105" s="241">
        <f>'FY26'!BT105</f>
        <v>118708</v>
      </c>
      <c r="AY105" s="241">
        <f>'FY27'!BT105</f>
        <v>119895.08</v>
      </c>
      <c r="AZ105" s="241">
        <f>'FY28'!BT105</f>
        <v>121094.03080000001</v>
      </c>
      <c r="BA105" s="241">
        <f>'FY29'!BT105</f>
        <v>122304.971108</v>
      </c>
      <c r="BB105" s="241">
        <f>'FY30'!BT105</f>
        <v>123528.02081908</v>
      </c>
    </row>
    <row r="106" spans="1:54" x14ac:dyDescent="0.25">
      <c r="A106" s="201" t="s">
        <v>241</v>
      </c>
      <c r="B106" s="241">
        <f>'FY26'!H106</f>
        <v>0</v>
      </c>
      <c r="C106" s="241">
        <f>'FY27'!H106</f>
        <v>0</v>
      </c>
      <c r="D106" s="241">
        <f>'FY28'!H106</f>
        <v>0</v>
      </c>
      <c r="E106" s="241">
        <f>'FY29'!H106</f>
        <v>0</v>
      </c>
      <c r="F106" s="241">
        <f>'FY30'!H106</f>
        <v>0</v>
      </c>
      <c r="H106" s="241">
        <f>'FY26'!P106</f>
        <v>98880</v>
      </c>
      <c r="I106" s="241">
        <f>'FY27'!P106</f>
        <v>99868.800000000003</v>
      </c>
      <c r="J106" s="241">
        <f>'FY28'!P106</f>
        <v>100867.488</v>
      </c>
      <c r="K106" s="241">
        <f>'FY29'!P106</f>
        <v>101876.16288</v>
      </c>
      <c r="L106" s="241">
        <f>'FY30'!P106</f>
        <v>102894.9245088</v>
      </c>
      <c r="N106" s="241">
        <f>'FY26'!X106</f>
        <v>46063</v>
      </c>
      <c r="O106" s="241">
        <f>'FY27'!X106</f>
        <v>46523.63</v>
      </c>
      <c r="P106" s="241">
        <f>'FY28'!X106</f>
        <v>46988.866299999994</v>
      </c>
      <c r="Q106" s="241">
        <f>'FY29'!X106</f>
        <v>47458.754962999992</v>
      </c>
      <c r="R106" s="241">
        <f>'FY30'!X106</f>
        <v>47933.342512629992</v>
      </c>
      <c r="T106" s="241">
        <f>'FY26'!AF106</f>
        <v>45063</v>
      </c>
      <c r="U106" s="241">
        <f>'FY27'!AF106</f>
        <v>45513.63</v>
      </c>
      <c r="V106" s="241">
        <f>'FY28'!AF106</f>
        <v>45968.766299999996</v>
      </c>
      <c r="W106" s="241">
        <f>'FY29'!AF106</f>
        <v>46428.453962999993</v>
      </c>
      <c r="X106" s="241">
        <f>'FY30'!AF106</f>
        <v>46892.738502629996</v>
      </c>
      <c r="Z106" s="241">
        <f>'FY26'!AN106</f>
        <v>94700</v>
      </c>
      <c r="AA106" s="241">
        <f>'FY27'!AN106</f>
        <v>95647</v>
      </c>
      <c r="AB106" s="241">
        <f>'FY28'!AN106</f>
        <v>96603.47</v>
      </c>
      <c r="AC106" s="241">
        <f>'FY29'!AN106</f>
        <v>97569.504700000005</v>
      </c>
      <c r="AD106" s="241">
        <f>'FY30'!AN106</f>
        <v>98545.199747000006</v>
      </c>
      <c r="AF106" s="241">
        <f>'FY26'!AV106</f>
        <v>0</v>
      </c>
      <c r="AG106" s="241">
        <f>'FY27'!AV106</f>
        <v>0</v>
      </c>
      <c r="AH106" s="241">
        <f>'FY28'!AV106</f>
        <v>0</v>
      </c>
      <c r="AI106" s="241">
        <f>'FY29'!AV106</f>
        <v>0</v>
      </c>
      <c r="AJ106" s="241">
        <f>'FY30'!AV106</f>
        <v>0</v>
      </c>
      <c r="AL106" s="241">
        <f>'FY26'!BD106</f>
        <v>0</v>
      </c>
      <c r="AM106" s="241">
        <f>'FY27'!BD106</f>
        <v>0</v>
      </c>
      <c r="AN106" s="241">
        <f>'FY28'!BD106</f>
        <v>0</v>
      </c>
      <c r="AO106" s="241">
        <f>'FY29'!BD106</f>
        <v>0</v>
      </c>
      <c r="AP106" s="241">
        <f>'FY30'!BD106</f>
        <v>0</v>
      </c>
      <c r="AR106" s="241">
        <f>'FY26'!BL106</f>
        <v>0</v>
      </c>
      <c r="AS106" s="241">
        <f>'FY27'!BL106</f>
        <v>0</v>
      </c>
      <c r="AT106" s="241">
        <f>'FY28'!BL106</f>
        <v>0</v>
      </c>
      <c r="AU106" s="241">
        <f>'FY29'!BL106</f>
        <v>0</v>
      </c>
      <c r="AV106" s="241">
        <f>'FY30'!BL106</f>
        <v>0</v>
      </c>
      <c r="AX106" s="241">
        <f>'FY26'!BT106</f>
        <v>284706</v>
      </c>
      <c r="AY106" s="241">
        <f>'FY27'!BT106</f>
        <v>287553.06</v>
      </c>
      <c r="AZ106" s="241">
        <f>'FY28'!BT106</f>
        <v>290428.5906</v>
      </c>
      <c r="BA106" s="241">
        <f>'FY29'!BT106</f>
        <v>293332.876506</v>
      </c>
      <c r="BB106" s="241">
        <f>'FY30'!BT106</f>
        <v>296266.20527106</v>
      </c>
    </row>
    <row r="107" spans="1:54" x14ac:dyDescent="0.25">
      <c r="A107" s="201" t="s">
        <v>208</v>
      </c>
      <c r="B107" s="241">
        <f>'FY26'!H107</f>
        <v>0</v>
      </c>
      <c r="C107" s="241">
        <f>'FY27'!H107</f>
        <v>0</v>
      </c>
      <c r="D107" s="241">
        <f>'FY28'!H107</f>
        <v>0</v>
      </c>
      <c r="E107" s="241">
        <f>'FY29'!H107</f>
        <v>0</v>
      </c>
      <c r="F107" s="241">
        <f>'FY30'!H107</f>
        <v>0</v>
      </c>
      <c r="H107" s="241">
        <f>'FY26'!P107</f>
        <v>75396</v>
      </c>
      <c r="I107" s="241">
        <f>'FY27'!P107</f>
        <v>76149.960000000006</v>
      </c>
      <c r="J107" s="241">
        <f>'FY28'!P107</f>
        <v>76911.459600000002</v>
      </c>
      <c r="K107" s="241">
        <f>'FY29'!P107</f>
        <v>77680.574196000001</v>
      </c>
      <c r="L107" s="241">
        <f>'FY30'!P107</f>
        <v>78457.379937959995</v>
      </c>
      <c r="N107" s="241">
        <f>'FY26'!X107</f>
        <v>33960</v>
      </c>
      <c r="O107" s="241">
        <f>'FY27'!X107</f>
        <v>34299.599999999999</v>
      </c>
      <c r="P107" s="241">
        <f>'FY28'!X107</f>
        <v>34642.595999999998</v>
      </c>
      <c r="Q107" s="241">
        <f>'FY29'!X107</f>
        <v>34989.021959999998</v>
      </c>
      <c r="R107" s="241">
        <f>'FY30'!X107</f>
        <v>35338.912179599996</v>
      </c>
      <c r="T107" s="241">
        <f>'FY26'!AF107</f>
        <v>32960</v>
      </c>
      <c r="U107" s="241">
        <f>'FY27'!AF107</f>
        <v>33289.599999999999</v>
      </c>
      <c r="V107" s="241">
        <f>'FY28'!AF107</f>
        <v>33622.495999999999</v>
      </c>
      <c r="W107" s="241">
        <f>'FY29'!AF107</f>
        <v>33958.720959999999</v>
      </c>
      <c r="X107" s="241">
        <f>'FY30'!AF107</f>
        <v>34298.308169600001</v>
      </c>
      <c r="Z107" s="241">
        <f>'FY26'!AN107</f>
        <v>78000</v>
      </c>
      <c r="AA107" s="241">
        <f>'FY27'!AN107</f>
        <v>78780</v>
      </c>
      <c r="AB107" s="241">
        <f>'FY28'!AN107</f>
        <v>79567.8</v>
      </c>
      <c r="AC107" s="241">
        <f>'FY29'!AN107</f>
        <v>80363.478000000003</v>
      </c>
      <c r="AD107" s="241">
        <f>'FY30'!AN107</f>
        <v>81167.11278000001</v>
      </c>
      <c r="AF107" s="241">
        <f>'FY26'!AV107</f>
        <v>0</v>
      </c>
      <c r="AG107" s="241">
        <f>'FY27'!AV107</f>
        <v>0</v>
      </c>
      <c r="AH107" s="241">
        <f>'FY28'!AV107</f>
        <v>0</v>
      </c>
      <c r="AI107" s="241">
        <f>'FY29'!AV107</f>
        <v>0</v>
      </c>
      <c r="AJ107" s="241">
        <f>'FY30'!AV107</f>
        <v>0</v>
      </c>
      <c r="AL107" s="241">
        <f>'FY26'!BD107</f>
        <v>0</v>
      </c>
      <c r="AM107" s="241">
        <f>'FY27'!BD107</f>
        <v>0</v>
      </c>
      <c r="AN107" s="241">
        <f>'FY28'!BD107</f>
        <v>0</v>
      </c>
      <c r="AO107" s="241">
        <f>'FY29'!BD107</f>
        <v>0</v>
      </c>
      <c r="AP107" s="241">
        <f>'FY30'!BD107</f>
        <v>0</v>
      </c>
      <c r="AR107" s="241">
        <f>'FY26'!BL107</f>
        <v>0</v>
      </c>
      <c r="AS107" s="241">
        <f>'FY27'!BL107</f>
        <v>0</v>
      </c>
      <c r="AT107" s="241">
        <f>'FY28'!BL107</f>
        <v>0</v>
      </c>
      <c r="AU107" s="241">
        <f>'FY29'!BL107</f>
        <v>0</v>
      </c>
      <c r="AV107" s="241">
        <f>'FY30'!BL107</f>
        <v>0</v>
      </c>
      <c r="AX107" s="241">
        <f>'FY26'!BT107</f>
        <v>220316</v>
      </c>
      <c r="AY107" s="241">
        <f>'FY27'!BT107</f>
        <v>222519.16</v>
      </c>
      <c r="AZ107" s="241">
        <f>'FY28'!BT107</f>
        <v>224744.35159999999</v>
      </c>
      <c r="BA107" s="241">
        <f>'FY29'!BT107</f>
        <v>226991.79511599999</v>
      </c>
      <c r="BB107" s="241">
        <f>'FY30'!BT107</f>
        <v>229261.71306715999</v>
      </c>
    </row>
    <row r="108" spans="1:54" x14ac:dyDescent="0.25">
      <c r="A108" s="202" t="s">
        <v>242</v>
      </c>
      <c r="B108" s="241">
        <f>'FY26'!H108</f>
        <v>31000</v>
      </c>
      <c r="C108" s="241">
        <f>'FY27'!H108</f>
        <v>31310</v>
      </c>
      <c r="D108" s="241">
        <f>'FY28'!H108</f>
        <v>31623.1</v>
      </c>
      <c r="E108" s="241">
        <f>'FY29'!H108</f>
        <v>31939.330999999998</v>
      </c>
      <c r="F108" s="241">
        <f>'FY30'!H108</f>
        <v>32258.724309999998</v>
      </c>
      <c r="H108" s="241">
        <f>'FY26'!P108</f>
        <v>56650</v>
      </c>
      <c r="I108" s="241">
        <f>'FY27'!P108</f>
        <v>57216.5</v>
      </c>
      <c r="J108" s="241">
        <f>'FY28'!P108</f>
        <v>57788.665000000001</v>
      </c>
      <c r="K108" s="241">
        <f>'FY29'!P108</f>
        <v>58366.551650000001</v>
      </c>
      <c r="L108" s="241">
        <f>'FY30'!P108</f>
        <v>58950.217166499999</v>
      </c>
      <c r="N108" s="241">
        <f>'FY26'!X108</f>
        <v>0</v>
      </c>
      <c r="O108" s="241">
        <f>'FY27'!X108</f>
        <v>0</v>
      </c>
      <c r="P108" s="241">
        <f>'FY28'!X108</f>
        <v>0</v>
      </c>
      <c r="Q108" s="241">
        <f>'FY29'!X108</f>
        <v>0</v>
      </c>
      <c r="R108" s="241">
        <f>'FY30'!X108</f>
        <v>0</v>
      </c>
      <c r="T108" s="241">
        <f>'FY26'!AF108</f>
        <v>61800</v>
      </c>
      <c r="U108" s="241">
        <f>'FY27'!AF108</f>
        <v>62418</v>
      </c>
      <c r="V108" s="241">
        <f>'FY28'!AF108</f>
        <v>63042.18</v>
      </c>
      <c r="W108" s="241">
        <f>'FY29'!AF108</f>
        <v>63672.601800000004</v>
      </c>
      <c r="X108" s="241">
        <f>'FY30'!AF108</f>
        <v>64309.327818000005</v>
      </c>
      <c r="Z108" s="241">
        <f>'FY26'!AN108</f>
        <v>114000</v>
      </c>
      <c r="AA108" s="241">
        <f>'FY27'!AN108</f>
        <v>63630</v>
      </c>
      <c r="AB108" s="241">
        <f>'FY28'!AN108</f>
        <v>64266.3</v>
      </c>
      <c r="AC108" s="241">
        <f>'FY29'!AN108</f>
        <v>64908.963000000003</v>
      </c>
      <c r="AD108" s="241">
        <f>'FY30'!AN108</f>
        <v>65558.052630000006</v>
      </c>
      <c r="AF108" s="241">
        <f>'FY26'!AV108</f>
        <v>0</v>
      </c>
      <c r="AG108" s="241">
        <f>'FY27'!AV108</f>
        <v>0</v>
      </c>
      <c r="AH108" s="241">
        <f>'FY28'!AV108</f>
        <v>0</v>
      </c>
      <c r="AI108" s="241">
        <f>'FY29'!AV108</f>
        <v>0</v>
      </c>
      <c r="AJ108" s="241">
        <f>'FY30'!AV108</f>
        <v>0</v>
      </c>
      <c r="AL108" s="241">
        <f>'FY26'!BD108</f>
        <v>0</v>
      </c>
      <c r="AM108" s="241">
        <f>'FY27'!BD108</f>
        <v>0</v>
      </c>
      <c r="AN108" s="241">
        <f>'FY28'!BD108</f>
        <v>0</v>
      </c>
      <c r="AO108" s="241">
        <f>'FY29'!BD108</f>
        <v>0</v>
      </c>
      <c r="AP108" s="241">
        <f>'FY30'!BD108</f>
        <v>0</v>
      </c>
      <c r="AR108" s="241">
        <f>'FY26'!BL108</f>
        <v>0</v>
      </c>
      <c r="AS108" s="241">
        <f>'FY27'!BL108</f>
        <v>0</v>
      </c>
      <c r="AT108" s="241">
        <f>'FY28'!BL108</f>
        <v>0</v>
      </c>
      <c r="AU108" s="241">
        <f>'FY29'!BL108</f>
        <v>0</v>
      </c>
      <c r="AV108" s="241">
        <f>'FY30'!BL108</f>
        <v>0</v>
      </c>
      <c r="AX108" s="241">
        <f>'FY26'!BT108</f>
        <v>263450</v>
      </c>
      <c r="AY108" s="241">
        <f>'FY27'!BT108</f>
        <v>214574.5</v>
      </c>
      <c r="AZ108" s="241">
        <f>'FY28'!BT108</f>
        <v>216720.245</v>
      </c>
      <c r="BA108" s="241">
        <f>'FY29'!BT108</f>
        <v>218887.44744999998</v>
      </c>
      <c r="BB108" s="241">
        <f>'FY30'!BT108</f>
        <v>221076.32192449999</v>
      </c>
    </row>
    <row r="109" spans="1:54" x14ac:dyDescent="0.25">
      <c r="A109" s="207" t="s">
        <v>329</v>
      </c>
      <c r="B109" s="258">
        <f>'FY26'!H109</f>
        <v>967569.84</v>
      </c>
      <c r="C109" s="258">
        <f>'FY27'!H109</f>
        <v>979215.13679999998</v>
      </c>
      <c r="D109" s="258">
        <f>'FY28'!H109</f>
        <v>990622.414536</v>
      </c>
      <c r="E109" s="258">
        <f>'FY29'!H109</f>
        <v>1002513.56757672</v>
      </c>
      <c r="F109" s="258">
        <f>'FY30'!H109</f>
        <v>1014530.5227257544</v>
      </c>
      <c r="H109" s="258">
        <f>'FY26'!P109</f>
        <v>3124358.4999999995</v>
      </c>
      <c r="I109" s="258">
        <f>'FY27'!P109</f>
        <v>3161630.5380000002</v>
      </c>
      <c r="J109" s="258">
        <f>'FY28'!P109</f>
        <v>3196119.0391600002</v>
      </c>
      <c r="K109" s="258">
        <f>'FY29'!P109</f>
        <v>3198228.0730472002</v>
      </c>
      <c r="L109" s="258">
        <f>'FY30'!P109</f>
        <v>3199881.3599431841</v>
      </c>
      <c r="N109" s="258">
        <f>'FY26'!X109</f>
        <v>1191846.22</v>
      </c>
      <c r="O109" s="258">
        <f>'FY27'!X109</f>
        <v>1205356.2393999998</v>
      </c>
      <c r="P109" s="258">
        <f>'FY28'!X109</f>
        <v>1219001.0043879999</v>
      </c>
      <c r="Q109" s="258">
        <f>'FY29'!X109</f>
        <v>1198202.5194527602</v>
      </c>
      <c r="R109" s="258">
        <f>'FY30'!X109</f>
        <v>1211742.822268585</v>
      </c>
      <c r="T109" s="258">
        <f>'FY26'!AF109</f>
        <v>1177626.31</v>
      </c>
      <c r="U109" s="258">
        <f>'FY27'!AF109</f>
        <v>1191290.3162</v>
      </c>
      <c r="V109" s="258">
        <f>'FY28'!AF109</f>
        <v>1205839.1248239998</v>
      </c>
      <c r="W109" s="258">
        <f>'FY29'!AF109</f>
        <v>1220555.3045184803</v>
      </c>
      <c r="X109" s="258">
        <f>'FY30'!AF109</f>
        <v>1236521.4680288297</v>
      </c>
      <c r="Z109" s="258">
        <f>'FY26'!AN109</f>
        <v>2462001</v>
      </c>
      <c r="AA109" s="258">
        <f>'FY27'!AN109</f>
        <v>2363883.54</v>
      </c>
      <c r="AB109" s="258">
        <f>'FY28'!AN109</f>
        <v>2390972.8607999994</v>
      </c>
      <c r="AC109" s="258">
        <f>'FY29'!AN109</f>
        <v>2383978.5513160005</v>
      </c>
      <c r="AD109" s="258">
        <f>'FY30'!AN109</f>
        <v>2376453.1107753194</v>
      </c>
      <c r="AF109" s="258">
        <f>'FY26'!AV109</f>
        <v>440290</v>
      </c>
      <c r="AG109" s="258">
        <f>'FY27'!AV109</f>
        <v>547411</v>
      </c>
      <c r="AH109" s="258">
        <f>'FY28'!AV109</f>
        <v>606300.82000000007</v>
      </c>
      <c r="AI109" s="258">
        <f>'FY29'!AV109</f>
        <v>702945.35199999996</v>
      </c>
      <c r="AJ109" s="258">
        <f>'FY30'!AV109</f>
        <v>711624.68171999999</v>
      </c>
      <c r="AL109" s="258">
        <f>'FY26'!BD109</f>
        <v>0</v>
      </c>
      <c r="AM109" s="258">
        <f>'FY27'!BD109</f>
        <v>0</v>
      </c>
      <c r="AN109" s="258">
        <f>'FY28'!BD109</f>
        <v>0</v>
      </c>
      <c r="AO109" s="258">
        <f>'FY29'!BD109</f>
        <v>0</v>
      </c>
      <c r="AP109" s="258">
        <f>'FY30'!BD109</f>
        <v>0</v>
      </c>
      <c r="AR109" s="258">
        <f>'FY26'!BL109</f>
        <v>263100</v>
      </c>
      <c r="AS109" s="258">
        <f>'FY27'!BL109</f>
        <v>265712</v>
      </c>
      <c r="AT109" s="258">
        <f>'FY28'!BL109</f>
        <v>268347.745</v>
      </c>
      <c r="AU109" s="258">
        <f>'FY29'!BL109</f>
        <v>271007.47245</v>
      </c>
      <c r="AV109" s="258">
        <f>'FY30'!BL109</f>
        <v>273691.42217450001</v>
      </c>
      <c r="AX109" s="258">
        <f>'FY26'!BT109</f>
        <v>9626791.870000001</v>
      </c>
      <c r="AY109" s="258">
        <f>'FY27'!BT109</f>
        <v>9714498.7704000007</v>
      </c>
      <c r="AZ109" s="258">
        <f>'FY28'!BT109</f>
        <v>9877203.0087080002</v>
      </c>
      <c r="BA109" s="258">
        <f>'FY29'!BT109</f>
        <v>9977430.840361163</v>
      </c>
      <c r="BB109" s="258">
        <f>'FY30'!BT109</f>
        <v>10024445.387636174</v>
      </c>
    </row>
    <row r="110" spans="1:54" x14ac:dyDescent="0.25">
      <c r="A110" s="200" t="s">
        <v>375</v>
      </c>
      <c r="B110" s="241">
        <f>'FY26'!H110</f>
        <v>355581.91619999998</v>
      </c>
      <c r="C110" s="241">
        <f>'FY27'!H110</f>
        <v>364757.63845800003</v>
      </c>
      <c r="D110" s="241">
        <f>'FY28'!H110</f>
        <v>373959.96148734004</v>
      </c>
      <c r="E110" s="241">
        <f>'FY29'!H110</f>
        <v>383461.43959809543</v>
      </c>
      <c r="F110" s="241">
        <f>'FY30'!H110</f>
        <v>393130.57755622978</v>
      </c>
      <c r="H110" s="241">
        <f>'FY26'!P110</f>
        <v>1148201.7487499998</v>
      </c>
      <c r="I110" s="241">
        <f>'FY27'!P110</f>
        <v>1177707.3754050003</v>
      </c>
      <c r="J110" s="241">
        <f>'FY28'!P110</f>
        <v>1206534.9372829001</v>
      </c>
      <c r="K110" s="241">
        <f>'FY29'!P110</f>
        <v>1223322.237940554</v>
      </c>
      <c r="L110" s="241">
        <f>'FY30'!P110</f>
        <v>1239954.026977984</v>
      </c>
      <c r="N110" s="241">
        <f>'FY26'!X110</f>
        <v>438003.48584999994</v>
      </c>
      <c r="O110" s="241">
        <f>'FY27'!X110</f>
        <v>448995.19917649997</v>
      </c>
      <c r="P110" s="241">
        <f>'FY28'!X110</f>
        <v>460172.87915646995</v>
      </c>
      <c r="Q110" s="241">
        <f>'FY29'!X110</f>
        <v>458312.46369068074</v>
      </c>
      <c r="R110" s="241">
        <f>'FY30'!X110</f>
        <v>469550.34362907673</v>
      </c>
      <c r="T110" s="241">
        <f>'FY26'!AF110</f>
        <v>371211.05662499997</v>
      </c>
      <c r="U110" s="241">
        <f>'FY27'!AF110</f>
        <v>379783.90488250001</v>
      </c>
      <c r="V110" s="241">
        <f>'FY28'!AF110</f>
        <v>388755.82773789996</v>
      </c>
      <c r="W110" s="241">
        <f>'FY29'!AF110</f>
        <v>397863.77864991297</v>
      </c>
      <c r="X110" s="241">
        <f>'FY30'!AF110</f>
        <v>407527.83212646371</v>
      </c>
      <c r="Z110" s="241">
        <f>'FY26'!AN110</f>
        <v>904785.36749999993</v>
      </c>
      <c r="AA110" s="241">
        <f>'FY27'!AN110</f>
        <v>880546.61864999996</v>
      </c>
      <c r="AB110" s="241">
        <f>'FY28'!AN110</f>
        <v>902592.25495199976</v>
      </c>
      <c r="AC110" s="241">
        <f>'FY29'!AN110</f>
        <v>911871.79587837006</v>
      </c>
      <c r="AD110" s="241">
        <f>'FY30'!AN110</f>
        <v>920875.58042543626</v>
      </c>
      <c r="AF110" s="241">
        <f>'FY26'!AV110</f>
        <v>161806.57500000001</v>
      </c>
      <c r="AG110" s="241">
        <f>'FY27'!AV110</f>
        <v>203910.5975</v>
      </c>
      <c r="AH110" s="241">
        <f>'FY28'!AV110</f>
        <v>228878.55954999998</v>
      </c>
      <c r="AI110" s="241">
        <f>'FY29'!AV110</f>
        <v>268876.59713999997</v>
      </c>
      <c r="AJ110" s="241">
        <f>'FY30'!AV110</f>
        <v>275754.56416650006</v>
      </c>
      <c r="AL110" s="241">
        <f>'FY26'!BD110</f>
        <v>0</v>
      </c>
      <c r="AM110" s="241">
        <f>'FY27'!BD110</f>
        <v>0</v>
      </c>
      <c r="AN110" s="241">
        <f>'FY28'!BD110</f>
        <v>0</v>
      </c>
      <c r="AO110" s="241">
        <f>'FY29'!BD110</f>
        <v>0</v>
      </c>
      <c r="AP110" s="241">
        <f>'FY30'!BD110</f>
        <v>0</v>
      </c>
      <c r="AR110" s="241">
        <f>'FY26'!BL110</f>
        <v>96689.25</v>
      </c>
      <c r="AS110" s="241">
        <f>'FY27'!BL110</f>
        <v>98977.72</v>
      </c>
      <c r="AT110" s="241">
        <f>'FY28'!BL110</f>
        <v>101301.2737375</v>
      </c>
      <c r="AU110" s="241">
        <f>'FY29'!BL110</f>
        <v>103660.35821212501</v>
      </c>
      <c r="AV110" s="241">
        <f>'FY30'!BL110</f>
        <v>106055.42609261876</v>
      </c>
      <c r="AX110" s="241">
        <f>'FY26'!BT110</f>
        <v>3476279.399925</v>
      </c>
      <c r="AY110" s="241">
        <f>'FY27'!BT110</f>
        <v>3554679.0540720006</v>
      </c>
      <c r="AZ110" s="241">
        <f>'FY28'!BT110</f>
        <v>3662195.6939041093</v>
      </c>
      <c r="BA110" s="241">
        <f>'FY29'!BT110</f>
        <v>3747368.6711097383</v>
      </c>
      <c r="BB110" s="241">
        <f>'FY30'!BT110</f>
        <v>3812848.3509743093</v>
      </c>
    </row>
    <row r="111" spans="1:54" x14ac:dyDescent="0.25">
      <c r="A111" s="201" t="s">
        <v>244</v>
      </c>
      <c r="B111" s="241">
        <f>'FY26'!H111</f>
        <v>137386.19279999999</v>
      </c>
      <c r="C111" s="241">
        <f>'FY27'!H111</f>
        <v>145958.40615600001</v>
      </c>
      <c r="D111" s="241">
        <f>'FY28'!H111</f>
        <v>156628.00865412</v>
      </c>
      <c r="E111" s="241">
        <f>'FY29'!H111</f>
        <v>170280.05054095242</v>
      </c>
      <c r="F111" s="241">
        <f>'FY30'!H111</f>
        <v>183235.75352265895</v>
      </c>
      <c r="H111" s="241">
        <f>'FY26'!P111</f>
        <v>453078.76049999997</v>
      </c>
      <c r="I111" s="241">
        <f>'FY27'!P111</f>
        <v>481339.03671000007</v>
      </c>
      <c r="J111" s="241">
        <f>'FY28'!P111</f>
        <v>516412.19426219998</v>
      </c>
      <c r="K111" s="241">
        <f>'FY29'!P111</f>
        <v>542215.67828712403</v>
      </c>
      <c r="L111" s="241">
        <f>'FY30'!P111</f>
        <v>566310.31119744328</v>
      </c>
      <c r="N111" s="241">
        <f>'FY26'!X111</f>
        <v>171115.32989999998</v>
      </c>
      <c r="O111" s="241">
        <f>'FY27'!X111</f>
        <v>180877.17139799998</v>
      </c>
      <c r="P111" s="241">
        <f>'FY28'!X111</f>
        <v>194023.45144745999</v>
      </c>
      <c r="Q111" s="241">
        <f>'FY29'!X111</f>
        <v>197580.9196253742</v>
      </c>
      <c r="R111" s="241">
        <f>'FY30'!X111</f>
        <v>210273.82700208636</v>
      </c>
      <c r="T111" s="241">
        <f>'FY26'!AF111</f>
        <v>166277.95645000003</v>
      </c>
      <c r="U111" s="241">
        <f>'FY27'!AF111</f>
        <v>175704.44547899999</v>
      </c>
      <c r="V111" s="241">
        <f>'FY28'!AF111</f>
        <v>192920.04561708</v>
      </c>
      <c r="W111" s="241">
        <f>'FY29'!AF111</f>
        <v>207249.57995333162</v>
      </c>
      <c r="X111" s="241">
        <f>'FY30'!AF111</f>
        <v>214505.96356129734</v>
      </c>
      <c r="Z111" s="241">
        <f>'FY26'!AN111</f>
        <v>393746.16</v>
      </c>
      <c r="AA111" s="241">
        <f>'FY27'!AN111</f>
        <v>391097.70929999999</v>
      </c>
      <c r="AB111" s="241">
        <f>'FY28'!AN111</f>
        <v>418692.99873599998</v>
      </c>
      <c r="AC111" s="241">
        <f>'FY29'!AN111</f>
        <v>440846.64730921999</v>
      </c>
      <c r="AD111" s="241">
        <f>'FY30'!AN111</f>
        <v>460214.90498488938</v>
      </c>
      <c r="AF111" s="241">
        <f>'FY26'!AV111</f>
        <v>67432.425000000003</v>
      </c>
      <c r="AG111" s="241">
        <f>'FY27'!AV111</f>
        <v>84155.647500000006</v>
      </c>
      <c r="AH111" s="241">
        <f>'FY28'!AV111</f>
        <v>100260.6669</v>
      </c>
      <c r="AI111" s="241">
        <f>'FY29'!AV111</f>
        <v>119664.76209</v>
      </c>
      <c r="AJ111" s="241">
        <f>'FY30'!AV111</f>
        <v>128232.94067740001</v>
      </c>
      <c r="AL111" s="241">
        <f>'FY26'!BD111</f>
        <v>0</v>
      </c>
      <c r="AM111" s="241">
        <f>'FY27'!BD111</f>
        <v>0</v>
      </c>
      <c r="AN111" s="241">
        <f>'FY28'!BD111</f>
        <v>0</v>
      </c>
      <c r="AO111" s="241">
        <f>'FY29'!BD111</f>
        <v>0</v>
      </c>
      <c r="AP111" s="241">
        <f>'FY30'!BD111</f>
        <v>0</v>
      </c>
      <c r="AR111" s="241">
        <f>'FY26'!BL111</f>
        <v>44118.75</v>
      </c>
      <c r="AS111" s="241">
        <f>'FY27'!BL111</f>
        <v>45157.598749999997</v>
      </c>
      <c r="AT111" s="241">
        <f>'FY28'!BL111</f>
        <v>46212.594099999995</v>
      </c>
      <c r="AU111" s="241">
        <f>'FY29'!BL111</f>
        <v>49118.794765500003</v>
      </c>
      <c r="AV111" s="241">
        <f>'FY30'!BL111</f>
        <v>52078.284434900008</v>
      </c>
      <c r="AX111" s="241">
        <f>'FY26'!BT111</f>
        <v>1433155.5746500003</v>
      </c>
      <c r="AY111" s="241">
        <f>'FY27'!BT111</f>
        <v>1504290.0152929998</v>
      </c>
      <c r="AZ111" s="241">
        <f>'FY28'!BT111</f>
        <v>1625149.95971686</v>
      </c>
      <c r="BA111" s="241">
        <f>'FY29'!BT111</f>
        <v>1726956.4325715022</v>
      </c>
      <c r="BB111" s="241">
        <f>'FY30'!BT111</f>
        <v>1814851.9853806756</v>
      </c>
    </row>
    <row r="112" spans="1:54" x14ac:dyDescent="0.25">
      <c r="A112" s="201" t="s">
        <v>245</v>
      </c>
      <c r="B112" s="241">
        <f>'FY26'!H112</f>
        <v>20750</v>
      </c>
      <c r="C112" s="241">
        <f>'FY27'!H112</f>
        <v>20750</v>
      </c>
      <c r="D112" s="241">
        <f>'FY28'!H112</f>
        <v>20750</v>
      </c>
      <c r="E112" s="241">
        <f>'FY29'!H112</f>
        <v>20750</v>
      </c>
      <c r="F112" s="241">
        <f>'FY30'!H112</f>
        <v>20750</v>
      </c>
      <c r="H112" s="241">
        <f>'FY26'!P112</f>
        <v>74500</v>
      </c>
      <c r="I112" s="241">
        <f>'FY27'!P112</f>
        <v>69500</v>
      </c>
      <c r="J112" s="241">
        <f>'FY28'!P112</f>
        <v>69500</v>
      </c>
      <c r="K112" s="241">
        <f>'FY29'!P112</f>
        <v>69000</v>
      </c>
      <c r="L112" s="241">
        <f>'FY30'!P112</f>
        <v>68500</v>
      </c>
      <c r="N112" s="241">
        <f>'FY26'!X112</f>
        <v>28375</v>
      </c>
      <c r="O112" s="241">
        <f>'FY27'!X112</f>
        <v>28375</v>
      </c>
      <c r="P112" s="241">
        <f>'FY28'!X112</f>
        <v>28375</v>
      </c>
      <c r="Q112" s="241">
        <f>'FY29'!X112</f>
        <v>27875</v>
      </c>
      <c r="R112" s="241">
        <f>'FY30'!X112</f>
        <v>27875</v>
      </c>
      <c r="T112" s="241">
        <f>'FY26'!AF112</f>
        <v>32787.5</v>
      </c>
      <c r="U112" s="241">
        <f>'FY27'!AF112</f>
        <v>32787.5</v>
      </c>
      <c r="V112" s="241">
        <f>'FY28'!AF112</f>
        <v>32787.5</v>
      </c>
      <c r="W112" s="241">
        <f>'FY29'!AF112</f>
        <v>32787.5</v>
      </c>
      <c r="X112" s="241">
        <f>'FY30'!AF112</f>
        <v>32787.5</v>
      </c>
      <c r="Z112" s="241">
        <f>'FY26'!AN112</f>
        <v>66625</v>
      </c>
      <c r="AA112" s="241">
        <f>'FY27'!AN112</f>
        <v>64375</v>
      </c>
      <c r="AB112" s="241">
        <f>'FY28'!AN112</f>
        <v>64375</v>
      </c>
      <c r="AC112" s="241">
        <f>'FY29'!AN112</f>
        <v>63875</v>
      </c>
      <c r="AD112" s="241">
        <f>'FY30'!AN112</f>
        <v>63375</v>
      </c>
      <c r="AF112" s="241">
        <f>'FY26'!AV112</f>
        <v>9000</v>
      </c>
      <c r="AG112" s="241">
        <f>'FY27'!AV112</f>
        <v>9000</v>
      </c>
      <c r="AH112" s="241">
        <f>'FY28'!AV112</f>
        <v>9500</v>
      </c>
      <c r="AI112" s="241">
        <f>'FY29'!AV112</f>
        <v>11500</v>
      </c>
      <c r="AJ112" s="241">
        <f>'FY30'!AV112</f>
        <v>11500</v>
      </c>
      <c r="AL112" s="241">
        <f>'FY26'!BD112</f>
        <v>0</v>
      </c>
      <c r="AM112" s="241">
        <f>'FY27'!BD112</f>
        <v>0</v>
      </c>
      <c r="AN112" s="241">
        <f>'FY28'!BD112</f>
        <v>0</v>
      </c>
      <c r="AO112" s="241">
        <f>'FY29'!BD112</f>
        <v>0</v>
      </c>
      <c r="AP112" s="241">
        <f>'FY30'!BD112</f>
        <v>0</v>
      </c>
      <c r="AR112" s="241">
        <f>'FY26'!BL112</f>
        <v>5250</v>
      </c>
      <c r="AS112" s="241">
        <f>'FY27'!BL112</f>
        <v>5250</v>
      </c>
      <c r="AT112" s="241">
        <f>'FY28'!BL112</f>
        <v>5250</v>
      </c>
      <c r="AU112" s="241">
        <f>'FY29'!BL112</f>
        <v>5250</v>
      </c>
      <c r="AV112" s="241">
        <f>'FY30'!BL112</f>
        <v>5250</v>
      </c>
      <c r="AX112" s="241">
        <f>'FY26'!BT112</f>
        <v>237287.5</v>
      </c>
      <c r="AY112" s="241">
        <f>'FY27'!BT112</f>
        <v>230037.5</v>
      </c>
      <c r="AZ112" s="241">
        <f>'FY28'!BT112</f>
        <v>230537.5</v>
      </c>
      <c r="BA112" s="241">
        <f>'FY29'!BT112</f>
        <v>231037.5</v>
      </c>
      <c r="BB112" s="241">
        <f>'FY30'!BT112</f>
        <v>230037.5</v>
      </c>
    </row>
    <row r="113" spans="1:54" x14ac:dyDescent="0.25">
      <c r="A113" s="201" t="s">
        <v>246</v>
      </c>
      <c r="B113" s="241">
        <f>'FY26'!H113</f>
        <v>3269.5</v>
      </c>
      <c r="C113" s="241">
        <f>'FY27'!H113</f>
        <v>4144.5</v>
      </c>
      <c r="D113" s="241">
        <f>'FY28'!H113</f>
        <v>4144.5</v>
      </c>
      <c r="E113" s="241">
        <f>'FY29'!H113</f>
        <v>4144.5</v>
      </c>
      <c r="F113" s="241">
        <f>'FY30'!H113</f>
        <v>4144.5</v>
      </c>
      <c r="H113" s="241">
        <f>'FY26'!P113</f>
        <v>10568.5</v>
      </c>
      <c r="I113" s="241">
        <f>'FY27'!P113</f>
        <v>10568.5</v>
      </c>
      <c r="J113" s="241">
        <f>'FY28'!P113</f>
        <v>10568.5</v>
      </c>
      <c r="K113" s="241">
        <f>'FY29'!P113</f>
        <v>10486.75</v>
      </c>
      <c r="L113" s="241">
        <f>'FY30'!P113</f>
        <v>10405</v>
      </c>
      <c r="N113" s="241">
        <f>'FY26'!X113</f>
        <v>5387.375</v>
      </c>
      <c r="O113" s="241">
        <f>'FY27'!X113</f>
        <v>5387.375</v>
      </c>
      <c r="P113" s="241">
        <f>'FY28'!X113</f>
        <v>5387.375</v>
      </c>
      <c r="Q113" s="241">
        <f>'FY29'!X113</f>
        <v>5305.625</v>
      </c>
      <c r="R113" s="241">
        <f>'FY30'!X113</f>
        <v>5305.625</v>
      </c>
      <c r="T113" s="241">
        <f>'FY26'!AF113</f>
        <v>4927.8225000000002</v>
      </c>
      <c r="U113" s="241">
        <f>'FY27'!AF113</f>
        <v>4927.8225000000002</v>
      </c>
      <c r="V113" s="241">
        <f>'FY28'!AF113</f>
        <v>4927.8225000000002</v>
      </c>
      <c r="W113" s="241">
        <f>'FY29'!AF113</f>
        <v>4927.8225000000002</v>
      </c>
      <c r="X113" s="241">
        <f>'FY30'!AF113</f>
        <v>4927.8225000000002</v>
      </c>
      <c r="Z113" s="241">
        <f>'FY26'!AN113</f>
        <v>8716.625</v>
      </c>
      <c r="AA113" s="241">
        <f>'FY27'!AN113</f>
        <v>8362.375</v>
      </c>
      <c r="AB113" s="241">
        <f>'FY28'!AN113</f>
        <v>8362.375</v>
      </c>
      <c r="AC113" s="241">
        <f>'FY29'!AN113</f>
        <v>8280.625</v>
      </c>
      <c r="AD113" s="241">
        <f>'FY30'!AN113</f>
        <v>8198.875</v>
      </c>
      <c r="AF113" s="241">
        <f>'FY26'!AV113</f>
        <v>2808.625</v>
      </c>
      <c r="AG113" s="241">
        <f>'FY27'!AV113</f>
        <v>3208.5</v>
      </c>
      <c r="AH113" s="241">
        <f>'FY28'!AV113</f>
        <v>3290.25</v>
      </c>
      <c r="AI113" s="241">
        <f>'FY29'!AV113</f>
        <v>3540.25</v>
      </c>
      <c r="AJ113" s="241">
        <f>'FY30'!AV113</f>
        <v>3540.25</v>
      </c>
      <c r="AL113" s="241">
        <f>'FY26'!BD113</f>
        <v>0</v>
      </c>
      <c r="AM113" s="241">
        <f>'FY27'!BD113</f>
        <v>0</v>
      </c>
      <c r="AN113" s="241">
        <f>'FY28'!BD113</f>
        <v>0</v>
      </c>
      <c r="AO113" s="241">
        <f>'FY29'!BD113</f>
        <v>0</v>
      </c>
      <c r="AP113" s="241">
        <f>'FY30'!BD113</f>
        <v>0</v>
      </c>
      <c r="AR113" s="241">
        <f>'FY26'!BL113</f>
        <v>1479.25</v>
      </c>
      <c r="AS113" s="241">
        <f>'FY27'!BL113</f>
        <v>1479.25</v>
      </c>
      <c r="AT113" s="241">
        <f>'FY28'!BL113</f>
        <v>1479.25</v>
      </c>
      <c r="AU113" s="241">
        <f>'FY29'!BL113</f>
        <v>1479.25</v>
      </c>
      <c r="AV113" s="241">
        <f>'FY30'!BL113</f>
        <v>1479.25</v>
      </c>
      <c r="AX113" s="241">
        <f>'FY26'!BT113</f>
        <v>37157.697500000002</v>
      </c>
      <c r="AY113" s="241">
        <f>'FY27'!BT113</f>
        <v>38078.322500000002</v>
      </c>
      <c r="AZ113" s="241">
        <f>'FY28'!BT113</f>
        <v>38160.072500000002</v>
      </c>
      <c r="BA113" s="241">
        <f>'FY29'!BT113</f>
        <v>38164.822500000002</v>
      </c>
      <c r="BB113" s="241">
        <f>'FY30'!BT113</f>
        <v>38001.322500000002</v>
      </c>
    </row>
    <row r="114" spans="1:54" x14ac:dyDescent="0.25">
      <c r="A114" s="201" t="s">
        <v>247</v>
      </c>
      <c r="B114" s="241">
        <f>'FY26'!H114</f>
        <v>0</v>
      </c>
      <c r="C114" s="241">
        <f>'FY27'!H114</f>
        <v>0</v>
      </c>
      <c r="D114" s="241">
        <f>'FY28'!H114</f>
        <v>0</v>
      </c>
      <c r="E114" s="241">
        <f>'FY29'!H114</f>
        <v>0</v>
      </c>
      <c r="F114" s="241">
        <f>'FY30'!H114</f>
        <v>0</v>
      </c>
      <c r="H114" s="241">
        <f>'FY26'!P114</f>
        <v>0</v>
      </c>
      <c r="I114" s="241">
        <f>'FY27'!P114</f>
        <v>0</v>
      </c>
      <c r="J114" s="241">
        <f>'FY28'!P114</f>
        <v>0</v>
      </c>
      <c r="K114" s="241">
        <f>'FY29'!P114</f>
        <v>0</v>
      </c>
      <c r="L114" s="241">
        <f>'FY30'!P114</f>
        <v>0</v>
      </c>
      <c r="N114" s="241">
        <f>'FY26'!X114</f>
        <v>0</v>
      </c>
      <c r="O114" s="241">
        <f>'FY27'!X114</f>
        <v>0</v>
      </c>
      <c r="P114" s="241">
        <f>'FY28'!X114</f>
        <v>0</v>
      </c>
      <c r="Q114" s="241">
        <f>'FY29'!X114</f>
        <v>0</v>
      </c>
      <c r="R114" s="241">
        <f>'FY30'!X114</f>
        <v>0</v>
      </c>
      <c r="T114" s="241">
        <f>'FY26'!AF114</f>
        <v>0</v>
      </c>
      <c r="U114" s="241">
        <f>'FY27'!AF114</f>
        <v>0</v>
      </c>
      <c r="V114" s="241">
        <f>'FY28'!AF114</f>
        <v>0</v>
      </c>
      <c r="W114" s="241">
        <f>'FY29'!AF114</f>
        <v>0</v>
      </c>
      <c r="X114" s="241">
        <f>'FY30'!AF114</f>
        <v>0</v>
      </c>
      <c r="Z114" s="241">
        <f>'FY26'!AN114</f>
        <v>2500</v>
      </c>
      <c r="AA114" s="241">
        <f>'FY27'!AN114</f>
        <v>2500</v>
      </c>
      <c r="AB114" s="241">
        <f>'FY28'!AN114</f>
        <v>2500</v>
      </c>
      <c r="AC114" s="241">
        <f>'FY29'!AN114</f>
        <v>2500</v>
      </c>
      <c r="AD114" s="241">
        <f>'FY30'!AN114</f>
        <v>2500</v>
      </c>
      <c r="AF114" s="241">
        <f>'FY26'!AV114</f>
        <v>2500</v>
      </c>
      <c r="AG114" s="241">
        <f>'FY27'!AV114</f>
        <v>2500</v>
      </c>
      <c r="AH114" s="241">
        <f>'FY28'!AV114</f>
        <v>2500</v>
      </c>
      <c r="AI114" s="241">
        <f>'FY29'!AV114</f>
        <v>2500</v>
      </c>
      <c r="AJ114" s="241">
        <f>'FY30'!AV114</f>
        <v>2500</v>
      </c>
      <c r="AL114" s="241">
        <f>'FY26'!BD114</f>
        <v>0</v>
      </c>
      <c r="AM114" s="241">
        <f>'FY27'!BD114</f>
        <v>0</v>
      </c>
      <c r="AN114" s="241">
        <f>'FY28'!BD114</f>
        <v>0</v>
      </c>
      <c r="AO114" s="241">
        <f>'FY29'!BD114</f>
        <v>0</v>
      </c>
      <c r="AP114" s="241">
        <f>'FY30'!BD114</f>
        <v>0</v>
      </c>
      <c r="AR114" s="241">
        <f>'FY26'!BL114</f>
        <v>10000</v>
      </c>
      <c r="AS114" s="241">
        <f>'FY27'!BL114</f>
        <v>10000</v>
      </c>
      <c r="AT114" s="241">
        <f>'FY28'!BL114</f>
        <v>10000</v>
      </c>
      <c r="AU114" s="241">
        <f>'FY29'!BL114</f>
        <v>10000</v>
      </c>
      <c r="AV114" s="241">
        <f>'FY30'!BL114</f>
        <v>10000</v>
      </c>
      <c r="AX114" s="241">
        <f>'FY26'!BT114</f>
        <v>15000</v>
      </c>
      <c r="AY114" s="241">
        <f>'FY27'!BT114</f>
        <v>15000</v>
      </c>
      <c r="AZ114" s="241">
        <f>'FY28'!BT114</f>
        <v>15000</v>
      </c>
      <c r="BA114" s="241">
        <f>'FY29'!BT114</f>
        <v>15000</v>
      </c>
      <c r="BB114" s="241">
        <f>'FY30'!BT114</f>
        <v>15000</v>
      </c>
    </row>
    <row r="115" spans="1:54" x14ac:dyDescent="0.25">
      <c r="A115" s="202" t="s">
        <v>248</v>
      </c>
      <c r="B115" s="241">
        <f>'FY26'!H115</f>
        <v>3000</v>
      </c>
      <c r="C115" s="241">
        <f>'FY27'!H115</f>
        <v>3000</v>
      </c>
      <c r="D115" s="241">
        <f>'FY28'!H115</f>
        <v>3000</v>
      </c>
      <c r="E115" s="241">
        <f>'FY29'!H115</f>
        <v>3000</v>
      </c>
      <c r="F115" s="241">
        <f>'FY30'!H115</f>
        <v>3000</v>
      </c>
      <c r="H115" s="241">
        <f>'FY26'!P115</f>
        <v>3000</v>
      </c>
      <c r="I115" s="241">
        <f>'FY27'!P115</f>
        <v>3000</v>
      </c>
      <c r="J115" s="241">
        <f>'FY28'!P115</f>
        <v>3000</v>
      </c>
      <c r="K115" s="241">
        <f>'FY29'!P115</f>
        <v>3000</v>
      </c>
      <c r="L115" s="241">
        <f>'FY30'!P115</f>
        <v>3000</v>
      </c>
      <c r="N115" s="241">
        <f>'FY26'!X115</f>
        <v>3000</v>
      </c>
      <c r="O115" s="241">
        <f>'FY27'!X115</f>
        <v>3000</v>
      </c>
      <c r="P115" s="241">
        <f>'FY28'!X115</f>
        <v>3000</v>
      </c>
      <c r="Q115" s="241">
        <f>'FY29'!X115</f>
        <v>3000</v>
      </c>
      <c r="R115" s="241">
        <f>'FY30'!X115</f>
        <v>3000</v>
      </c>
      <c r="T115" s="241">
        <f>'FY26'!AF115</f>
        <v>3000</v>
      </c>
      <c r="U115" s="241">
        <f>'FY27'!AF115</f>
        <v>3000</v>
      </c>
      <c r="V115" s="241">
        <f>'FY28'!AF115</f>
        <v>3000</v>
      </c>
      <c r="W115" s="241">
        <f>'FY29'!AF115</f>
        <v>3000</v>
      </c>
      <c r="X115" s="241">
        <f>'FY30'!AF115</f>
        <v>3000</v>
      </c>
      <c r="Z115" s="241">
        <f>'FY26'!AN115</f>
        <v>3000</v>
      </c>
      <c r="AA115" s="241">
        <f>'FY27'!AN115</f>
        <v>3000</v>
      </c>
      <c r="AB115" s="241">
        <f>'FY28'!AN115</f>
        <v>3000</v>
      </c>
      <c r="AC115" s="241">
        <f>'FY29'!AN115</f>
        <v>3000</v>
      </c>
      <c r="AD115" s="241">
        <f>'FY30'!AN115</f>
        <v>3000</v>
      </c>
      <c r="AF115" s="241">
        <f>'FY26'!AV115</f>
        <v>0</v>
      </c>
      <c r="AG115" s="241">
        <f>'FY27'!AV115</f>
        <v>0</v>
      </c>
      <c r="AH115" s="241">
        <f>'FY28'!AV115</f>
        <v>0</v>
      </c>
      <c r="AI115" s="241">
        <f>'FY29'!AV115</f>
        <v>0</v>
      </c>
      <c r="AJ115" s="241">
        <f>'FY30'!AV115</f>
        <v>0</v>
      </c>
      <c r="AL115" s="241">
        <f>'FY26'!BD115</f>
        <v>0</v>
      </c>
      <c r="AM115" s="241">
        <f>'FY27'!BD115</f>
        <v>0</v>
      </c>
      <c r="AN115" s="241">
        <f>'FY28'!BD115</f>
        <v>0</v>
      </c>
      <c r="AO115" s="241">
        <f>'FY29'!BD115</f>
        <v>0</v>
      </c>
      <c r="AP115" s="241">
        <f>'FY30'!BD115</f>
        <v>0</v>
      </c>
      <c r="AR115" s="241">
        <f>'FY26'!BL115</f>
        <v>0</v>
      </c>
      <c r="AS115" s="241">
        <f>'FY27'!BL115</f>
        <v>0</v>
      </c>
      <c r="AT115" s="241">
        <f>'FY28'!BL115</f>
        <v>0</v>
      </c>
      <c r="AU115" s="241">
        <f>'FY29'!BL115</f>
        <v>0</v>
      </c>
      <c r="AV115" s="241">
        <f>'FY30'!BL115</f>
        <v>0</v>
      </c>
      <c r="AX115" s="241">
        <f>'FY26'!BT115</f>
        <v>15000</v>
      </c>
      <c r="AY115" s="241">
        <f>'FY27'!BT115</f>
        <v>15000</v>
      </c>
      <c r="AZ115" s="241">
        <f>'FY28'!BT115</f>
        <v>15000</v>
      </c>
      <c r="BA115" s="241">
        <f>'FY29'!BT115</f>
        <v>15000</v>
      </c>
      <c r="BB115" s="241">
        <f>'FY30'!BT115</f>
        <v>15000</v>
      </c>
    </row>
    <row r="116" spans="1:54" x14ac:dyDescent="0.25">
      <c r="A116" s="207" t="s">
        <v>330</v>
      </c>
      <c r="B116" s="258">
        <f>'FY26'!H116</f>
        <v>519987.60899999994</v>
      </c>
      <c r="C116" s="258">
        <f>'FY27'!H116</f>
        <v>538610.54461400001</v>
      </c>
      <c r="D116" s="258">
        <f>'FY28'!H116</f>
        <v>558482.47014146007</v>
      </c>
      <c r="E116" s="258">
        <f>'FY29'!H116</f>
        <v>581635.99013904785</v>
      </c>
      <c r="F116" s="258">
        <f>'FY30'!H116</f>
        <v>604260.83107888873</v>
      </c>
      <c r="H116" s="258">
        <f>'FY26'!P116</f>
        <v>1689349.0092499997</v>
      </c>
      <c r="I116" s="258">
        <f>'FY27'!P116</f>
        <v>1742114.9121150004</v>
      </c>
      <c r="J116" s="258">
        <f>'FY28'!P116</f>
        <v>1806015.6315451001</v>
      </c>
      <c r="K116" s="258">
        <f>'FY29'!P116</f>
        <v>1848024.6662276781</v>
      </c>
      <c r="L116" s="258">
        <f>'FY30'!P116</f>
        <v>1888169.3381754272</v>
      </c>
      <c r="N116" s="258">
        <f>'FY26'!X116</f>
        <v>645881.19074999995</v>
      </c>
      <c r="O116" s="258">
        <f>'FY27'!X116</f>
        <v>666634.74557449995</v>
      </c>
      <c r="P116" s="258">
        <f>'FY28'!X116</f>
        <v>690958.70560392994</v>
      </c>
      <c r="Q116" s="258">
        <f>'FY29'!X116</f>
        <v>692074.00831605494</v>
      </c>
      <c r="R116" s="258">
        <f>'FY30'!X116</f>
        <v>716004.79563116306</v>
      </c>
      <c r="T116" s="258">
        <f>'FY26'!AF116</f>
        <v>578204.33557500003</v>
      </c>
      <c r="U116" s="258">
        <f>'FY27'!AF116</f>
        <v>596203.67286149994</v>
      </c>
      <c r="V116" s="258">
        <f>'FY28'!AF116</f>
        <v>622391.19585498003</v>
      </c>
      <c r="W116" s="258">
        <f>'FY29'!AF116</f>
        <v>645828.68110324466</v>
      </c>
      <c r="X116" s="258">
        <f>'FY30'!AF116</f>
        <v>662749.11818776105</v>
      </c>
      <c r="Z116" s="258">
        <f>'FY26'!AN116</f>
        <v>1379373.1524999999</v>
      </c>
      <c r="AA116" s="258">
        <f>'FY27'!AN116</f>
        <v>1349881.7029499998</v>
      </c>
      <c r="AB116" s="258">
        <f>'FY28'!AN116</f>
        <v>1399522.6286879997</v>
      </c>
      <c r="AC116" s="258">
        <f>'FY29'!AN116</f>
        <v>1430374.06818759</v>
      </c>
      <c r="AD116" s="258">
        <f>'FY30'!AN116</f>
        <v>1458164.3604103257</v>
      </c>
      <c r="AF116" s="258">
        <f>'FY26'!AV116</f>
        <v>243547.625</v>
      </c>
      <c r="AG116" s="258">
        <f>'FY27'!AV116</f>
        <v>302774.745</v>
      </c>
      <c r="AH116" s="258">
        <f>'FY28'!AV116</f>
        <v>344429.47644999996</v>
      </c>
      <c r="AI116" s="258">
        <f>'FY29'!AV116</f>
        <v>406081.60922999994</v>
      </c>
      <c r="AJ116" s="258">
        <f>'FY30'!AV116</f>
        <v>421527.7548439001</v>
      </c>
      <c r="AL116" s="258">
        <f>'FY26'!BD116</f>
        <v>0</v>
      </c>
      <c r="AM116" s="258">
        <f>'FY27'!BD116</f>
        <v>0</v>
      </c>
      <c r="AN116" s="258">
        <f>'FY28'!BD116</f>
        <v>0</v>
      </c>
      <c r="AO116" s="258">
        <f>'FY29'!BD116</f>
        <v>0</v>
      </c>
      <c r="AP116" s="258">
        <f>'FY30'!BD116</f>
        <v>0</v>
      </c>
      <c r="AR116" s="258">
        <f>'FY26'!BL116</f>
        <v>157537.25</v>
      </c>
      <c r="AS116" s="258">
        <f>'FY27'!BL116</f>
        <v>160864.56875000001</v>
      </c>
      <c r="AT116" s="258">
        <f>'FY28'!BL116</f>
        <v>164243.1178375</v>
      </c>
      <c r="AU116" s="258">
        <f>'FY29'!BL116</f>
        <v>169508.40297762502</v>
      </c>
      <c r="AV116" s="258">
        <f>'FY30'!BL116</f>
        <v>174862.96052751876</v>
      </c>
      <c r="AX116" s="258">
        <f>'FY26'!BT116</f>
        <v>5213880.1720749997</v>
      </c>
      <c r="AY116" s="258">
        <f>'FY27'!BT116</f>
        <v>5357084.8918650001</v>
      </c>
      <c r="AZ116" s="258">
        <f>'FY28'!BT116</f>
        <v>5586043.2261209693</v>
      </c>
      <c r="BA116" s="258">
        <f>'FY29'!BT116</f>
        <v>5773527.42618124</v>
      </c>
      <c r="BB116" s="258">
        <f>'FY30'!BT116</f>
        <v>5925739.1588549847</v>
      </c>
    </row>
    <row r="117" spans="1:54" x14ac:dyDescent="0.25">
      <c r="B117" s="259">
        <f>'FY26'!H117</f>
        <v>0</v>
      </c>
      <c r="C117" s="259">
        <f>'FY27'!H117</f>
        <v>0</v>
      </c>
      <c r="D117" s="259">
        <f>'FY28'!H117</f>
        <v>0</v>
      </c>
      <c r="E117" s="259">
        <f>'FY29'!H117</f>
        <v>0</v>
      </c>
      <c r="F117" s="259">
        <f>'FY30'!H117</f>
        <v>0</v>
      </c>
      <c r="H117" s="259">
        <f>'FY26'!P117</f>
        <v>0</v>
      </c>
      <c r="I117" s="259">
        <f>'FY27'!P117</f>
        <v>0</v>
      </c>
      <c r="J117" s="259">
        <f>'FY28'!P117</f>
        <v>0</v>
      </c>
      <c r="K117" s="259">
        <f>'FY29'!P117</f>
        <v>0</v>
      </c>
      <c r="L117" s="259">
        <f>'FY30'!P117</f>
        <v>0</v>
      </c>
      <c r="N117" s="259">
        <f>'FY26'!X117</f>
        <v>0</v>
      </c>
      <c r="O117" s="259">
        <f>'FY27'!X117</f>
        <v>0</v>
      </c>
      <c r="P117" s="259">
        <f>'FY28'!X117</f>
        <v>0</v>
      </c>
      <c r="Q117" s="259">
        <f>'FY29'!X117</f>
        <v>0</v>
      </c>
      <c r="R117" s="259">
        <f>'FY30'!X117</f>
        <v>0</v>
      </c>
      <c r="T117" s="259">
        <f>'FY26'!AF117</f>
        <v>0</v>
      </c>
      <c r="U117" s="259">
        <f>'FY27'!AF117</f>
        <v>0</v>
      </c>
      <c r="V117" s="259">
        <f>'FY28'!AF117</f>
        <v>0</v>
      </c>
      <c r="W117" s="259">
        <f>'FY29'!AF117</f>
        <v>0</v>
      </c>
      <c r="X117" s="259">
        <f>'FY30'!AF117</f>
        <v>0</v>
      </c>
      <c r="Z117" s="259">
        <f>'FY26'!AN117</f>
        <v>0</v>
      </c>
      <c r="AA117" s="259">
        <f>'FY27'!AN117</f>
        <v>0</v>
      </c>
      <c r="AB117" s="259">
        <f>'FY28'!AN117</f>
        <v>0</v>
      </c>
      <c r="AC117" s="259">
        <f>'FY29'!AN117</f>
        <v>0</v>
      </c>
      <c r="AD117" s="259">
        <f>'FY30'!AN117</f>
        <v>0</v>
      </c>
      <c r="AF117" s="259">
        <f>'FY26'!AV117</f>
        <v>0</v>
      </c>
      <c r="AG117" s="259">
        <f>'FY27'!AV117</f>
        <v>0</v>
      </c>
      <c r="AH117" s="259">
        <f>'FY28'!AV117</f>
        <v>0</v>
      </c>
      <c r="AI117" s="259">
        <f>'FY29'!AV117</f>
        <v>0</v>
      </c>
      <c r="AJ117" s="259">
        <f>'FY30'!AV117</f>
        <v>0</v>
      </c>
      <c r="AL117" s="259">
        <f>'FY26'!BD117</f>
        <v>0</v>
      </c>
      <c r="AM117" s="259">
        <f>'FY27'!BD117</f>
        <v>0</v>
      </c>
      <c r="AN117" s="259">
        <f>'FY28'!BD117</f>
        <v>0</v>
      </c>
      <c r="AO117" s="259">
        <f>'FY29'!BD117</f>
        <v>0</v>
      </c>
      <c r="AP117" s="259">
        <f>'FY30'!BD117</f>
        <v>0</v>
      </c>
      <c r="AR117" s="259">
        <f>'FY26'!BL117</f>
        <v>0</v>
      </c>
      <c r="AS117" s="259">
        <f>'FY27'!BL117</f>
        <v>0</v>
      </c>
      <c r="AT117" s="259">
        <f>'FY28'!BL117</f>
        <v>0</v>
      </c>
      <c r="AU117" s="259">
        <f>'FY29'!BL117</f>
        <v>0</v>
      </c>
      <c r="AV117" s="259">
        <f>'FY30'!BL117</f>
        <v>0</v>
      </c>
      <c r="AX117" s="259">
        <f>'FY26'!BT117</f>
        <v>0</v>
      </c>
      <c r="AY117" s="259">
        <f>'FY27'!BT117</f>
        <v>0</v>
      </c>
      <c r="AZ117" s="259">
        <f>'FY28'!BT117</f>
        <v>0</v>
      </c>
      <c r="BA117" s="259">
        <f>'FY29'!BT117</f>
        <v>0</v>
      </c>
      <c r="BB117" s="259">
        <f>'FY30'!BT117</f>
        <v>0</v>
      </c>
    </row>
    <row r="118" spans="1:54" x14ac:dyDescent="0.25">
      <c r="A118" s="208" t="s">
        <v>331</v>
      </c>
      <c r="B118" s="261" t="str">
        <f>'FY26'!H118</f>
        <v>Total (25-26)</v>
      </c>
      <c r="C118" s="261" t="str">
        <f>'FY27'!H118</f>
        <v>Horizon</v>
      </c>
      <c r="D118" s="261" t="str">
        <f>'FY28'!H118</f>
        <v>Horizon</v>
      </c>
      <c r="E118" s="261" t="str">
        <f>'FY29'!H118</f>
        <v>Horizon</v>
      </c>
      <c r="F118" s="261" t="str">
        <f>'FY30'!H118</f>
        <v>Horizon</v>
      </c>
      <c r="H118" s="261" t="str">
        <f>'FY26'!P118</f>
        <v>Cadence</v>
      </c>
      <c r="I118" s="261" t="str">
        <f>'FY27'!P118</f>
        <v>Cadence</v>
      </c>
      <c r="J118" s="261" t="str">
        <f>'FY28'!P118</f>
        <v>Cadence</v>
      </c>
      <c r="K118" s="261" t="str">
        <f>'FY29'!P118</f>
        <v>Cadence</v>
      </c>
      <c r="L118" s="261" t="str">
        <f>'FY30'!P118</f>
        <v>Cadence</v>
      </c>
      <c r="N118" s="261" t="str">
        <f>'FY26'!X118</f>
        <v>St. Rose</v>
      </c>
      <c r="O118" s="261" t="str">
        <f>'FY27'!X118</f>
        <v>St. Rose</v>
      </c>
      <c r="P118" s="261" t="str">
        <f>'FY28'!X118</f>
        <v>St. Rose</v>
      </c>
      <c r="Q118" s="261" t="str">
        <f>'FY29'!X118</f>
        <v>St. Rose</v>
      </c>
      <c r="R118" s="261" t="str">
        <f>'FY30'!X118</f>
        <v>St. Rose</v>
      </c>
      <c r="T118" s="261" t="str">
        <f>'FY26'!AF118</f>
        <v>Inspirada</v>
      </c>
      <c r="U118" s="261" t="str">
        <f>'FY27'!AF118</f>
        <v>Inspirada</v>
      </c>
      <c r="V118" s="261" t="str">
        <f>'FY28'!AF118</f>
        <v>Inspirada</v>
      </c>
      <c r="W118" s="261" t="str">
        <f>'FY29'!AF118</f>
        <v>Inspirada</v>
      </c>
      <c r="X118" s="261" t="str">
        <f>'FY30'!AF118</f>
        <v>Inspirada</v>
      </c>
      <c r="Z118" s="261" t="str">
        <f>'FY26'!AN118</f>
        <v>Sloan</v>
      </c>
      <c r="AA118" s="261" t="str">
        <f>'FY27'!AN118</f>
        <v>Sloan</v>
      </c>
      <c r="AB118" s="261" t="str">
        <f>'FY28'!AN118</f>
        <v>Sloan</v>
      </c>
      <c r="AC118" s="261" t="str">
        <f>'FY29'!AN118</f>
        <v>Sloan</v>
      </c>
      <c r="AD118" s="261" t="str">
        <f>'FY30'!AN118</f>
        <v>Sloan</v>
      </c>
      <c r="AF118" s="261" t="str">
        <f>'FY26'!AV118</f>
        <v>Springs</v>
      </c>
      <c r="AG118" s="261" t="str">
        <f>'FY27'!AV118</f>
        <v>Springs</v>
      </c>
      <c r="AH118" s="261" t="str">
        <f>'FY28'!AV118</f>
        <v>Springs</v>
      </c>
      <c r="AI118" s="261" t="str">
        <f>'FY29'!AV118</f>
        <v>Springs</v>
      </c>
      <c r="AJ118" s="261" t="str">
        <f>'FY30'!AV118</f>
        <v>Springs</v>
      </c>
      <c r="AL118" s="261" t="str">
        <f>'FY26'!BD118</f>
        <v>Virtual</v>
      </c>
      <c r="AM118" s="261" t="str">
        <f>'FY27'!BD118</f>
        <v>Virtual</v>
      </c>
      <c r="AN118" s="261" t="str">
        <f>'FY28'!BD118</f>
        <v>Virtual</v>
      </c>
      <c r="AO118" s="261" t="str">
        <f>'FY29'!BD118</f>
        <v>Virtual</v>
      </c>
      <c r="AP118" s="261" t="str">
        <f>'FY30'!BD118</f>
        <v>Virtual</v>
      </c>
      <c r="AR118" s="261" t="str">
        <f>'FY26'!BL118</f>
        <v>Central</v>
      </c>
      <c r="AS118" s="261" t="str">
        <f>'FY27'!BL118</f>
        <v>Central</v>
      </c>
      <c r="AT118" s="261" t="str">
        <f>'FY28'!BL118</f>
        <v>Central</v>
      </c>
      <c r="AU118" s="261" t="str">
        <f>'FY29'!BL118</f>
        <v>Central</v>
      </c>
      <c r="AV118" s="261" t="str">
        <f>'FY30'!BL118</f>
        <v>Central</v>
      </c>
      <c r="AX118" s="261" t="str">
        <f>'FY26'!BT118</f>
        <v>System</v>
      </c>
      <c r="AY118" s="261" t="str">
        <f>'FY27'!BT118</f>
        <v>System</v>
      </c>
      <c r="AZ118" s="261" t="str">
        <f>'FY28'!BT118</f>
        <v>System</v>
      </c>
      <c r="BA118" s="261" t="str">
        <f>'FY29'!BT118</f>
        <v>System</v>
      </c>
      <c r="BB118" s="261" t="str">
        <f>'FY30'!BT118</f>
        <v>System</v>
      </c>
    </row>
    <row r="119" spans="1:54" x14ac:dyDescent="0.25">
      <c r="A119" s="200" t="s">
        <v>249</v>
      </c>
      <c r="B119" s="241">
        <f>'FY26'!H119</f>
        <v>149915</v>
      </c>
      <c r="C119" s="241">
        <f>'FY27'!H119</f>
        <v>150764.15</v>
      </c>
      <c r="D119" s="241">
        <f>'FY28'!H119</f>
        <v>152271.79149999999</v>
      </c>
      <c r="E119" s="241">
        <f>'FY29'!H119</f>
        <v>153138.00941499998</v>
      </c>
      <c r="F119" s="241">
        <f>'FY30'!H119</f>
        <v>154012.88950915</v>
      </c>
      <c r="H119" s="241">
        <f>'FY26'!P119</f>
        <v>232165</v>
      </c>
      <c r="I119" s="241">
        <f>'FY27'!P119</f>
        <v>238360</v>
      </c>
      <c r="J119" s="241">
        <f>'FY28'!P119</f>
        <v>240743.6</v>
      </c>
      <c r="K119" s="241">
        <f>'FY29'!P119</f>
        <v>243151.03600000002</v>
      </c>
      <c r="L119" s="241">
        <f>'FY30'!P119</f>
        <v>245582.54636000004</v>
      </c>
      <c r="N119" s="241">
        <f>'FY26'!X119</f>
        <v>77500</v>
      </c>
      <c r="O119" s="241">
        <f>'FY27'!X119</f>
        <v>78275</v>
      </c>
      <c r="P119" s="241">
        <f>'FY28'!X119</f>
        <v>79057.75</v>
      </c>
      <c r="Q119" s="241">
        <f>'FY29'!X119</f>
        <v>79848.327499999999</v>
      </c>
      <c r="R119" s="241">
        <f>'FY30'!X119</f>
        <v>80646.810775000005</v>
      </c>
      <c r="T119" s="241">
        <f>'FY26'!AF119</f>
        <v>248166</v>
      </c>
      <c r="U119" s="241">
        <f>'FY27'!AF119</f>
        <v>250647.66</v>
      </c>
      <c r="V119" s="241">
        <f>'FY28'!AF119</f>
        <v>253154.1366</v>
      </c>
      <c r="W119" s="241">
        <f>'FY29'!AF119</f>
        <v>255685.67796599999</v>
      </c>
      <c r="X119" s="241">
        <f>'FY30'!AF119</f>
        <v>258242.53474566</v>
      </c>
      <c r="Z119" s="241">
        <f>'FY26'!AN119</f>
        <v>146500</v>
      </c>
      <c r="AA119" s="241">
        <f>'FY27'!AN119</f>
        <v>147965</v>
      </c>
      <c r="AB119" s="241">
        <f>'FY28'!AN119</f>
        <v>149444.65</v>
      </c>
      <c r="AC119" s="241">
        <f>'FY29'!AN119</f>
        <v>150939.09649999999</v>
      </c>
      <c r="AD119" s="241">
        <f>'FY30'!AN119</f>
        <v>152448.48746499998</v>
      </c>
      <c r="AF119" s="241">
        <f>'FY26'!AV119</f>
        <v>0</v>
      </c>
      <c r="AG119" s="241">
        <f>'FY27'!AV119</f>
        <v>0</v>
      </c>
      <c r="AH119" s="241">
        <f>'FY28'!AV119</f>
        <v>80000</v>
      </c>
      <c r="AI119" s="241">
        <f>'FY29'!AV119</f>
        <v>80800</v>
      </c>
      <c r="AJ119" s="241">
        <f>'FY30'!AV119</f>
        <v>81608</v>
      </c>
      <c r="AL119" s="241">
        <f>'FY26'!BD119</f>
        <v>0</v>
      </c>
      <c r="AM119" s="241">
        <f>'FY27'!BD119</f>
        <v>0</v>
      </c>
      <c r="AN119" s="241">
        <f>'FY28'!BD119</f>
        <v>0</v>
      </c>
      <c r="AO119" s="241">
        <f>'FY29'!BD119</f>
        <v>0</v>
      </c>
      <c r="AP119" s="241">
        <f>'FY30'!BD119</f>
        <v>0</v>
      </c>
      <c r="AR119" s="241">
        <f>'FY26'!BL119</f>
        <v>97500</v>
      </c>
      <c r="AS119" s="241">
        <f>'FY27'!BL119</f>
        <v>98475</v>
      </c>
      <c r="AT119" s="241">
        <f>'FY28'!BL119</f>
        <v>99459.75</v>
      </c>
      <c r="AU119" s="241">
        <f>'FY29'!BL119</f>
        <v>100454.3475</v>
      </c>
      <c r="AV119" s="241">
        <f>'FY30'!BL119</f>
        <v>101458.890975</v>
      </c>
      <c r="AX119" s="241">
        <f>'FY26'!BT119</f>
        <v>951746</v>
      </c>
      <c r="AY119" s="241">
        <f>'FY27'!BT119</f>
        <v>964486.81</v>
      </c>
      <c r="AZ119" s="241">
        <f>'FY28'!BT119</f>
        <v>1054131.6781000001</v>
      </c>
      <c r="BA119" s="241">
        <f>'FY29'!BT119</f>
        <v>1064016.4948809999</v>
      </c>
      <c r="BB119" s="241">
        <f>'FY30'!BT119</f>
        <v>1074000.15982981</v>
      </c>
    </row>
    <row r="120" spans="1:54" x14ac:dyDescent="0.25">
      <c r="A120" s="201" t="s">
        <v>192</v>
      </c>
      <c r="B120" s="241">
        <f>'FY26'!H120</f>
        <v>0</v>
      </c>
      <c r="C120" s="241">
        <f>'FY27'!H120</f>
        <v>0</v>
      </c>
      <c r="D120" s="241">
        <f>'FY28'!H120</f>
        <v>0</v>
      </c>
      <c r="E120" s="241">
        <f>'FY29'!H120</f>
        <v>0</v>
      </c>
      <c r="F120" s="241">
        <f>'FY30'!H120</f>
        <v>0</v>
      </c>
      <c r="H120" s="241">
        <f>'FY26'!P120</f>
        <v>73894.381250000006</v>
      </c>
      <c r="I120" s="241">
        <f>'FY27'!P120</f>
        <v>75866.149999999994</v>
      </c>
      <c r="J120" s="241">
        <f>'FY28'!P120</f>
        <v>76624.811499999996</v>
      </c>
      <c r="K120" s="241">
        <f>'FY29'!P120</f>
        <v>77391.059614999991</v>
      </c>
      <c r="L120" s="241">
        <f>'FY30'!P120</f>
        <v>78164.970211149994</v>
      </c>
      <c r="N120" s="241">
        <f>'FY26'!X120</f>
        <v>0</v>
      </c>
      <c r="O120" s="241">
        <f>'FY27'!X120</f>
        <v>0</v>
      </c>
      <c r="P120" s="241">
        <f>'FY28'!X120</f>
        <v>0</v>
      </c>
      <c r="Q120" s="241">
        <f>'FY29'!X120</f>
        <v>0</v>
      </c>
      <c r="R120" s="241">
        <f>'FY30'!X120</f>
        <v>0</v>
      </c>
      <c r="T120" s="241">
        <f>'FY26'!AF120</f>
        <v>0</v>
      </c>
      <c r="U120" s="241">
        <f>'FY27'!AF120</f>
        <v>0</v>
      </c>
      <c r="V120" s="241">
        <f>'FY28'!AF120</f>
        <v>0</v>
      </c>
      <c r="W120" s="241">
        <f>'FY29'!AF120</f>
        <v>0</v>
      </c>
      <c r="X120" s="241">
        <f>'FY30'!AF120</f>
        <v>0</v>
      </c>
      <c r="Z120" s="241">
        <f>'FY26'!AN120</f>
        <v>0</v>
      </c>
      <c r="AA120" s="241">
        <f>'FY27'!AN120</f>
        <v>0</v>
      </c>
      <c r="AB120" s="241">
        <f>'FY28'!AN120</f>
        <v>0</v>
      </c>
      <c r="AC120" s="241">
        <f>'FY29'!AN120</f>
        <v>0</v>
      </c>
      <c r="AD120" s="241">
        <f>'FY30'!AN120</f>
        <v>0</v>
      </c>
      <c r="AF120" s="241">
        <f>'FY26'!AV120</f>
        <v>75500</v>
      </c>
      <c r="AG120" s="241">
        <f>'FY27'!AV120</f>
        <v>76255</v>
      </c>
      <c r="AH120" s="241">
        <f>'FY28'!AV120</f>
        <v>77017.55</v>
      </c>
      <c r="AI120" s="241">
        <f>'FY29'!AV120</f>
        <v>77787.7255</v>
      </c>
      <c r="AJ120" s="241">
        <f>'FY30'!AV120</f>
        <v>78565.602755</v>
      </c>
      <c r="AL120" s="241">
        <f>'FY26'!BD120</f>
        <v>95176</v>
      </c>
      <c r="AM120" s="241">
        <f>'FY27'!BD120</f>
        <v>96127.76</v>
      </c>
      <c r="AN120" s="241">
        <f>'FY28'!BD120</f>
        <v>97089.037599999996</v>
      </c>
      <c r="AO120" s="241">
        <f>'FY29'!BD120</f>
        <v>98059.927975999992</v>
      </c>
      <c r="AP120" s="241">
        <f>'FY30'!BD120</f>
        <v>99040.527255759996</v>
      </c>
      <c r="AR120" s="241">
        <f>'FY26'!BL120</f>
        <v>0</v>
      </c>
      <c r="AS120" s="241">
        <f>'FY27'!BL120</f>
        <v>0</v>
      </c>
      <c r="AT120" s="241">
        <f>'FY28'!BL120</f>
        <v>0</v>
      </c>
      <c r="AU120" s="241">
        <f>'FY29'!BL120</f>
        <v>0</v>
      </c>
      <c r="AV120" s="241">
        <f>'FY30'!BL120</f>
        <v>0</v>
      </c>
      <c r="AX120" s="241">
        <f>'FY26'!BT120</f>
        <v>244570.38125000001</v>
      </c>
      <c r="AY120" s="241">
        <f>'FY27'!BT120</f>
        <v>248248.90999999997</v>
      </c>
      <c r="AZ120" s="241">
        <f>'FY28'!BT120</f>
        <v>250731.39909999998</v>
      </c>
      <c r="BA120" s="241">
        <f>'FY29'!BT120</f>
        <v>253238.71309099998</v>
      </c>
      <c r="BB120" s="241">
        <f>'FY30'!BT120</f>
        <v>255771.10022190999</v>
      </c>
    </row>
    <row r="121" spans="1:54" x14ac:dyDescent="0.25">
      <c r="A121" s="201" t="s">
        <v>250</v>
      </c>
      <c r="B121" s="241">
        <f>'FY26'!H121</f>
        <v>2522954</v>
      </c>
      <c r="C121" s="241">
        <f>'FY27'!H121</f>
        <v>2609204</v>
      </c>
      <c r="D121" s="241">
        <f>'FY28'!H121</f>
        <v>2638604</v>
      </c>
      <c r="E121" s="241">
        <f>'FY29'!H121</f>
        <v>2665904</v>
      </c>
      <c r="F121" s="241">
        <f>'FY30'!H121</f>
        <v>2693204</v>
      </c>
      <c r="H121" s="241">
        <f>'FY26'!P121</f>
        <v>6410000</v>
      </c>
      <c r="I121" s="241">
        <f>'FY27'!P121</f>
        <v>6534100</v>
      </c>
      <c r="J121" s="241">
        <f>'FY28'!P121</f>
        <v>6604800</v>
      </c>
      <c r="K121" s="241">
        <f>'FY29'!P121</f>
        <v>6670450</v>
      </c>
      <c r="L121" s="241">
        <f>'FY30'!P121</f>
        <v>6736100</v>
      </c>
      <c r="N121" s="241">
        <f>'FY26'!X121</f>
        <v>2784818</v>
      </c>
      <c r="O121" s="241">
        <f>'FY27'!X121</f>
        <v>2811218</v>
      </c>
      <c r="P121" s="241">
        <f>'FY28'!X121</f>
        <v>2842018</v>
      </c>
      <c r="Q121" s="241">
        <f>'FY29'!X121</f>
        <v>2870618</v>
      </c>
      <c r="R121" s="241">
        <f>'FY30'!X121</f>
        <v>2899218</v>
      </c>
      <c r="T121" s="241">
        <f>'FY26'!AF121</f>
        <v>3448000</v>
      </c>
      <c r="U121" s="241">
        <f>'FY27'!AF121</f>
        <v>3481600</v>
      </c>
      <c r="V121" s="241">
        <f>'FY28'!AF121</f>
        <v>3520800</v>
      </c>
      <c r="W121" s="241">
        <f>'FY29'!AF121</f>
        <v>3557700</v>
      </c>
      <c r="X121" s="241">
        <f>'FY30'!AF121</f>
        <v>3594600</v>
      </c>
      <c r="Z121" s="241">
        <f>'FY26'!AN121</f>
        <v>6340000</v>
      </c>
      <c r="AA121" s="241">
        <f>'FY27'!AN121</f>
        <v>6527700</v>
      </c>
      <c r="AB121" s="241">
        <f>'FY28'!AN121</f>
        <v>6663650</v>
      </c>
      <c r="AC121" s="241">
        <f>'FY29'!AN121</f>
        <v>6600200</v>
      </c>
      <c r="AD121" s="241">
        <f>'FY30'!AN121</f>
        <v>6665850</v>
      </c>
      <c r="AF121" s="241">
        <f>'FY26'!AV121</f>
        <v>1125000</v>
      </c>
      <c r="AG121" s="241">
        <f>'FY27'!AV121</f>
        <v>1770000</v>
      </c>
      <c r="AH121" s="241">
        <f>'FY28'!AV121</f>
        <v>2091250</v>
      </c>
      <c r="AI121" s="241">
        <f>'FY29'!AV121</f>
        <v>2299000</v>
      </c>
      <c r="AJ121" s="241">
        <f>'FY30'!AV121</f>
        <v>2325600</v>
      </c>
      <c r="AL121" s="241">
        <f>'FY26'!BD121</f>
        <v>0</v>
      </c>
      <c r="AM121" s="241">
        <f>'FY27'!BD121</f>
        <v>0</v>
      </c>
      <c r="AN121" s="241">
        <f>'FY28'!BD121</f>
        <v>0</v>
      </c>
      <c r="AO121" s="241">
        <f>'FY29'!BD121</f>
        <v>0</v>
      </c>
      <c r="AP121" s="241">
        <f>'FY30'!BD121</f>
        <v>0</v>
      </c>
      <c r="AR121" s="241">
        <f>'FY26'!BL121</f>
        <v>82000</v>
      </c>
      <c r="AS121" s="241">
        <f>'FY27'!BL121</f>
        <v>82820</v>
      </c>
      <c r="AT121" s="241">
        <f>'FY28'!BL121</f>
        <v>83648.2</v>
      </c>
      <c r="AU121" s="241">
        <f>'FY29'!BL121</f>
        <v>84484.682000000001</v>
      </c>
      <c r="AV121" s="241">
        <f>'FY30'!BL121</f>
        <v>85329.528820000007</v>
      </c>
      <c r="AX121" s="241">
        <f>'FY26'!BT121</f>
        <v>22712772</v>
      </c>
      <c r="AY121" s="241">
        <f>'FY27'!BT121</f>
        <v>23816642</v>
      </c>
      <c r="AZ121" s="241">
        <f>'FY28'!BT121</f>
        <v>24444770.199999999</v>
      </c>
      <c r="BA121" s="241">
        <f>'FY29'!BT121</f>
        <v>24748356.682</v>
      </c>
      <c r="BB121" s="241">
        <f>'FY30'!BT121</f>
        <v>24999901.528820001</v>
      </c>
    </row>
    <row r="122" spans="1:54" x14ac:dyDescent="0.25">
      <c r="A122" s="201" t="s">
        <v>181</v>
      </c>
      <c r="B122" s="241">
        <f>'FY26'!H122</f>
        <v>305250</v>
      </c>
      <c r="C122" s="241">
        <f>'FY27'!H122</f>
        <v>308250</v>
      </c>
      <c r="D122" s="241">
        <f>'FY28'!H122</f>
        <v>311750</v>
      </c>
      <c r="E122" s="241">
        <f>'FY29'!H122</f>
        <v>315000</v>
      </c>
      <c r="F122" s="241">
        <f>'FY30'!H122</f>
        <v>318250</v>
      </c>
      <c r="H122" s="241">
        <f>'FY26'!P122</f>
        <v>825500</v>
      </c>
      <c r="I122" s="241">
        <f>'FY27'!P122</f>
        <v>833300</v>
      </c>
      <c r="J122" s="241">
        <f>'FY28'!P122</f>
        <v>842400</v>
      </c>
      <c r="K122" s="241">
        <f>'FY29'!P122</f>
        <v>850850</v>
      </c>
      <c r="L122" s="241">
        <f>'FY30'!P122</f>
        <v>859300</v>
      </c>
      <c r="N122" s="241">
        <f>'FY26'!X122</f>
        <v>252600</v>
      </c>
      <c r="O122" s="241">
        <f>'FY27'!X122</f>
        <v>255000</v>
      </c>
      <c r="P122" s="241">
        <f>'FY28'!X122</f>
        <v>257800</v>
      </c>
      <c r="Q122" s="241">
        <f>'FY29'!X122</f>
        <v>260400</v>
      </c>
      <c r="R122" s="241">
        <f>'FY30'!X122</f>
        <v>263000</v>
      </c>
      <c r="T122" s="241">
        <f>'FY26'!AF122</f>
        <v>305000</v>
      </c>
      <c r="U122" s="241">
        <f>'FY27'!AF122</f>
        <v>308000</v>
      </c>
      <c r="V122" s="241">
        <f>'FY28'!AF122</f>
        <v>311500</v>
      </c>
      <c r="W122" s="241">
        <f>'FY29'!AF122</f>
        <v>314750</v>
      </c>
      <c r="X122" s="241">
        <f>'FY30'!AF122</f>
        <v>318000</v>
      </c>
      <c r="Z122" s="241">
        <f>'FY26'!AN122</f>
        <v>759000</v>
      </c>
      <c r="AA122" s="241">
        <f>'FY27'!AN122</f>
        <v>830050</v>
      </c>
      <c r="AB122" s="241">
        <f>'FY28'!AN122</f>
        <v>839150</v>
      </c>
      <c r="AC122" s="241">
        <f>'FY29'!AN122</f>
        <v>847600</v>
      </c>
      <c r="AD122" s="241">
        <f>'FY30'!AN122</f>
        <v>856050</v>
      </c>
      <c r="AF122" s="241">
        <f>'FY26'!AV122</f>
        <v>69000</v>
      </c>
      <c r="AG122" s="241">
        <f>'FY27'!AV122</f>
        <v>195000</v>
      </c>
      <c r="AH122" s="241">
        <f>'FY28'!AV122</f>
        <v>229950</v>
      </c>
      <c r="AI122" s="241">
        <f>'FY29'!AV122</f>
        <v>266000</v>
      </c>
      <c r="AJ122" s="241">
        <f>'FY30'!AV122</f>
        <v>268800</v>
      </c>
      <c r="AL122" s="241">
        <f>'FY26'!BD122</f>
        <v>83000</v>
      </c>
      <c r="AM122" s="241">
        <f>'FY27'!BD122</f>
        <v>83830</v>
      </c>
      <c r="AN122" s="241">
        <f>'FY28'!BD122</f>
        <v>84668.3</v>
      </c>
      <c r="AO122" s="241">
        <f>'FY29'!BD122</f>
        <v>85514.983000000007</v>
      </c>
      <c r="AP122" s="241">
        <f>'FY30'!BD122</f>
        <v>86370.132830000002</v>
      </c>
      <c r="AR122" s="241">
        <f>'FY26'!BL122</f>
        <v>0</v>
      </c>
      <c r="AS122" s="241">
        <f>'FY27'!BL122</f>
        <v>0</v>
      </c>
      <c r="AT122" s="241">
        <f>'FY28'!BL122</f>
        <v>0</v>
      </c>
      <c r="AU122" s="241">
        <f>'FY29'!BL122</f>
        <v>0</v>
      </c>
      <c r="AV122" s="241">
        <f>'FY30'!BL122</f>
        <v>0</v>
      </c>
      <c r="AX122" s="241">
        <f>'FY26'!BT122</f>
        <v>2599350</v>
      </c>
      <c r="AY122" s="241">
        <f>'FY27'!BT122</f>
        <v>2813430</v>
      </c>
      <c r="AZ122" s="241">
        <f>'FY28'!BT122</f>
        <v>2877218.3</v>
      </c>
      <c r="BA122" s="241">
        <f>'FY29'!BT122</f>
        <v>2940114.983</v>
      </c>
      <c r="BB122" s="241">
        <f>'FY30'!BT122</f>
        <v>2969770.13283</v>
      </c>
    </row>
    <row r="123" spans="1:54" x14ac:dyDescent="0.25">
      <c r="A123" s="201" t="s">
        <v>251</v>
      </c>
      <c r="B123" s="241">
        <f>'FY26'!H123</f>
        <v>235116</v>
      </c>
      <c r="C123" s="241">
        <f>'FY27'!H123</f>
        <v>237915</v>
      </c>
      <c r="D123" s="241">
        <f>'FY28'!H123</f>
        <v>240714</v>
      </c>
      <c r="E123" s="241">
        <f>'FY29'!H123</f>
        <v>243513</v>
      </c>
      <c r="F123" s="241">
        <f>'FY30'!H123</f>
        <v>216414</v>
      </c>
      <c r="H123" s="241">
        <f>'FY26'!P123</f>
        <v>654508.80000000005</v>
      </c>
      <c r="I123" s="241">
        <f>'FY27'!P123</f>
        <v>665280</v>
      </c>
      <c r="J123" s="241">
        <f>'FY28'!P123</f>
        <v>673200</v>
      </c>
      <c r="K123" s="241">
        <f>'FY29'!P123</f>
        <v>681120</v>
      </c>
      <c r="L123" s="241">
        <f>'FY30'!P123</f>
        <v>626400</v>
      </c>
      <c r="N123" s="241">
        <f>'FY26'!X123</f>
        <v>311850</v>
      </c>
      <c r="O123" s="241">
        <f>'FY27'!X123</f>
        <v>315562.5</v>
      </c>
      <c r="P123" s="241">
        <f>'FY28'!X123</f>
        <v>290250</v>
      </c>
      <c r="Q123" s="241">
        <f>'FY29'!X123</f>
        <v>293625</v>
      </c>
      <c r="R123" s="241">
        <f>'FY30'!X123</f>
        <v>267300</v>
      </c>
      <c r="T123" s="241">
        <f>'FY26'!AF123</f>
        <v>288000</v>
      </c>
      <c r="U123" s="241">
        <f>'FY27'!AF123</f>
        <v>291600</v>
      </c>
      <c r="V123" s="241">
        <f>'FY28'!AF123</f>
        <v>295200</v>
      </c>
      <c r="W123" s="241">
        <f>'FY29'!AF123</f>
        <v>298800</v>
      </c>
      <c r="X123" s="241">
        <f>'FY30'!AF123</f>
        <v>272160</v>
      </c>
      <c r="Z123" s="241">
        <f>'FY26'!AN123</f>
        <v>529200</v>
      </c>
      <c r="AA123" s="241">
        <f>'FY27'!AN123</f>
        <v>520200</v>
      </c>
      <c r="AB123" s="241">
        <f>'FY28'!AN123</f>
        <v>526320</v>
      </c>
      <c r="AC123" s="241">
        <f>'FY29'!AN123</f>
        <v>532440</v>
      </c>
      <c r="AD123" s="241">
        <f>'FY30'!AN123</f>
        <v>522720</v>
      </c>
      <c r="AF123" s="241">
        <f>'FY26'!AV123</f>
        <v>123371</v>
      </c>
      <c r="AG123" s="241">
        <f>'FY27'!AV123</f>
        <v>191399.91</v>
      </c>
      <c r="AH123" s="241">
        <f>'FY28'!AV123</f>
        <v>232879.91</v>
      </c>
      <c r="AI123" s="241">
        <f>'FY29'!AV123</f>
        <v>295159.91000000003</v>
      </c>
      <c r="AJ123" s="241">
        <f>'FY30'!AV123</f>
        <v>298403.1091</v>
      </c>
      <c r="AL123" s="241">
        <f>'FY26'!BD123</f>
        <v>107239</v>
      </c>
      <c r="AM123" s="241">
        <f>'FY27'!BD123</f>
        <v>137150.89000000001</v>
      </c>
      <c r="AN123" s="241">
        <f>'FY28'!BD123</f>
        <v>138714.8989</v>
      </c>
      <c r="AO123" s="241">
        <f>'FY29'!BD123</f>
        <v>140281.04788900001</v>
      </c>
      <c r="AP123" s="241">
        <f>'FY30'!BD123</f>
        <v>141849.35836789</v>
      </c>
      <c r="AR123" s="241">
        <f>'FY26'!BL123</f>
        <v>0</v>
      </c>
      <c r="AS123" s="241">
        <f>'FY27'!BL123</f>
        <v>0</v>
      </c>
      <c r="AT123" s="241">
        <f>'FY28'!BL123</f>
        <v>0</v>
      </c>
      <c r="AU123" s="241">
        <f>'FY29'!BL123</f>
        <v>0</v>
      </c>
      <c r="AV123" s="241">
        <f>'FY30'!BL123</f>
        <v>0</v>
      </c>
      <c r="AX123" s="241">
        <f>'FY26'!BT123</f>
        <v>2249284.7999999998</v>
      </c>
      <c r="AY123" s="241">
        <f>'FY27'!BT123</f>
        <v>2359108.2999999998</v>
      </c>
      <c r="AZ123" s="241">
        <f>'FY28'!BT123</f>
        <v>2397278.8089000001</v>
      </c>
      <c r="BA123" s="241">
        <f>'FY29'!BT123</f>
        <v>2484938.957889</v>
      </c>
      <c r="BB123" s="241">
        <f>'FY30'!BT123</f>
        <v>2345246.4674678901</v>
      </c>
    </row>
    <row r="124" spans="1:54" x14ac:dyDescent="0.25">
      <c r="A124" s="202" t="s">
        <v>209</v>
      </c>
      <c r="B124" s="262">
        <f>'FY26'!H124</f>
        <v>31500</v>
      </c>
      <c r="C124" s="262">
        <f>'FY27'!H124</f>
        <v>32400</v>
      </c>
      <c r="D124" s="262">
        <f>'FY28'!H124</f>
        <v>33300</v>
      </c>
      <c r="E124" s="262">
        <f>'FY29'!H124</f>
        <v>34200</v>
      </c>
      <c r="F124" s="262">
        <f>'FY30'!H124</f>
        <v>35100</v>
      </c>
      <c r="H124" s="262">
        <f>'FY26'!P124</f>
        <v>94500</v>
      </c>
      <c r="I124" s="262">
        <f>'FY27'!P124</f>
        <v>97200</v>
      </c>
      <c r="J124" s="262">
        <f>'FY28'!P124</f>
        <v>99900</v>
      </c>
      <c r="K124" s="262">
        <f>'FY29'!P124</f>
        <v>102600</v>
      </c>
      <c r="L124" s="262">
        <f>'FY30'!P124</f>
        <v>105300</v>
      </c>
      <c r="N124" s="262">
        <f>'FY26'!X124</f>
        <v>31500</v>
      </c>
      <c r="O124" s="262">
        <f>'FY27'!X124</f>
        <v>32400</v>
      </c>
      <c r="P124" s="262">
        <f>'FY28'!X124</f>
        <v>33300</v>
      </c>
      <c r="Q124" s="262">
        <f>'FY29'!X124</f>
        <v>34200</v>
      </c>
      <c r="R124" s="262">
        <f>'FY30'!X124</f>
        <v>35100</v>
      </c>
      <c r="T124" s="262">
        <f>'FY26'!AF124</f>
        <v>63000</v>
      </c>
      <c r="U124" s="262">
        <f>'FY27'!AF124</f>
        <v>64800</v>
      </c>
      <c r="V124" s="262">
        <f>'FY28'!AF124</f>
        <v>66600</v>
      </c>
      <c r="W124" s="262">
        <f>'FY29'!AF124</f>
        <v>68400</v>
      </c>
      <c r="X124" s="262">
        <f>'FY30'!AF124</f>
        <v>70200</v>
      </c>
      <c r="Z124" s="262">
        <f>'FY26'!AN124</f>
        <v>126000</v>
      </c>
      <c r="AA124" s="262">
        <f>'FY27'!AN124</f>
        <v>129600</v>
      </c>
      <c r="AB124" s="262">
        <f>'FY28'!AN124</f>
        <v>133200</v>
      </c>
      <c r="AC124" s="262">
        <f>'FY29'!AN124</f>
        <v>136800</v>
      </c>
      <c r="AD124" s="262">
        <f>'FY30'!AN124</f>
        <v>140400</v>
      </c>
      <c r="AF124" s="262">
        <f>'FY26'!AV124</f>
        <v>0</v>
      </c>
      <c r="AG124" s="262">
        <f>'FY27'!AV124</f>
        <v>0</v>
      </c>
      <c r="AH124" s="262">
        <f>'FY28'!AV124</f>
        <v>0</v>
      </c>
      <c r="AI124" s="262">
        <f>'FY29'!AV124</f>
        <v>0</v>
      </c>
      <c r="AJ124" s="262">
        <f>'FY30'!AV124</f>
        <v>0</v>
      </c>
      <c r="AL124" s="262">
        <f>'FY26'!BD124</f>
        <v>0</v>
      </c>
      <c r="AM124" s="262">
        <f>'FY27'!BD124</f>
        <v>0</v>
      </c>
      <c r="AN124" s="262">
        <f>'FY28'!BD124</f>
        <v>0</v>
      </c>
      <c r="AO124" s="262">
        <f>'FY29'!BD124</f>
        <v>0</v>
      </c>
      <c r="AP124" s="262">
        <f>'FY30'!BD124</f>
        <v>0</v>
      </c>
      <c r="AR124" s="262">
        <f>'FY26'!BL124</f>
        <v>0</v>
      </c>
      <c r="AS124" s="262">
        <f>'FY27'!BL124</f>
        <v>0</v>
      </c>
      <c r="AT124" s="262">
        <f>'FY28'!BL124</f>
        <v>0</v>
      </c>
      <c r="AU124" s="262">
        <f>'FY29'!BL124</f>
        <v>0</v>
      </c>
      <c r="AV124" s="262">
        <f>'FY30'!BL124</f>
        <v>0</v>
      </c>
      <c r="AX124" s="262">
        <f>'FY26'!BT124</f>
        <v>346500</v>
      </c>
      <c r="AY124" s="262">
        <f>'FY27'!BT124</f>
        <v>356400</v>
      </c>
      <c r="AZ124" s="262">
        <f>'FY28'!BT124</f>
        <v>366300</v>
      </c>
      <c r="BA124" s="262">
        <f>'FY29'!BT124</f>
        <v>376200</v>
      </c>
      <c r="BB124" s="262">
        <f>'FY30'!BT124</f>
        <v>386100</v>
      </c>
    </row>
    <row r="125" spans="1:54" x14ac:dyDescent="0.25">
      <c r="A125" s="207" t="s">
        <v>332</v>
      </c>
      <c r="B125" s="258">
        <f>'FY26'!H125</f>
        <v>3244735</v>
      </c>
      <c r="C125" s="258">
        <f>'FY27'!H125</f>
        <v>3338533.15</v>
      </c>
      <c r="D125" s="258">
        <f>'FY28'!H125</f>
        <v>3376639.7914999998</v>
      </c>
      <c r="E125" s="258">
        <f>'FY29'!H125</f>
        <v>3411755.0094149997</v>
      </c>
      <c r="F125" s="258">
        <f>'FY30'!H125</f>
        <v>3416980.8895091498</v>
      </c>
      <c r="H125" s="258">
        <f>'FY26'!P125</f>
        <v>8290568.1812499994</v>
      </c>
      <c r="I125" s="258">
        <f>'FY27'!P125</f>
        <v>8444106.1500000004</v>
      </c>
      <c r="J125" s="258">
        <f>'FY28'!P125</f>
        <v>8537668.4114999995</v>
      </c>
      <c r="K125" s="258">
        <f>'FY29'!P125</f>
        <v>8625562.0956149995</v>
      </c>
      <c r="L125" s="258">
        <f>'FY30'!P125</f>
        <v>8650847.5165711492</v>
      </c>
      <c r="N125" s="258">
        <f>'FY26'!X125</f>
        <v>3458268</v>
      </c>
      <c r="O125" s="258">
        <f>'FY27'!X125</f>
        <v>3492455.5</v>
      </c>
      <c r="P125" s="258">
        <f>'FY28'!X125</f>
        <v>3502425.75</v>
      </c>
      <c r="Q125" s="258">
        <f>'FY29'!X125</f>
        <v>3538691.3275000001</v>
      </c>
      <c r="R125" s="258">
        <f>'FY30'!X125</f>
        <v>3545264.8107750001</v>
      </c>
      <c r="T125" s="258">
        <f>'FY26'!AF125</f>
        <v>4352166</v>
      </c>
      <c r="U125" s="258">
        <f>'FY27'!AF125</f>
        <v>4396647.66</v>
      </c>
      <c r="V125" s="258">
        <f>'FY28'!AF125</f>
        <v>4447254.1365999999</v>
      </c>
      <c r="W125" s="258">
        <f>'FY29'!AF125</f>
        <v>4495335.6779660005</v>
      </c>
      <c r="X125" s="258">
        <f>'FY30'!AF125</f>
        <v>4513202.5347456597</v>
      </c>
      <c r="Z125" s="258">
        <f>'FY26'!AN125</f>
        <v>7900700</v>
      </c>
      <c r="AA125" s="258">
        <f>'FY27'!AN125</f>
        <v>8155515</v>
      </c>
      <c r="AB125" s="258">
        <f>'FY28'!AN125</f>
        <v>8311764.6500000004</v>
      </c>
      <c r="AC125" s="258">
        <f>'FY29'!AN125</f>
        <v>8267979.0965</v>
      </c>
      <c r="AD125" s="258">
        <f>'FY30'!AN125</f>
        <v>8337468.4874649998</v>
      </c>
      <c r="AF125" s="258">
        <f>'FY26'!AV125</f>
        <v>1392871</v>
      </c>
      <c r="AG125" s="258">
        <f>'FY27'!AV125</f>
        <v>2232654.91</v>
      </c>
      <c r="AH125" s="258">
        <f>'FY28'!AV125</f>
        <v>2711097.46</v>
      </c>
      <c r="AI125" s="258">
        <f>'FY29'!AV125</f>
        <v>3018747.6355000003</v>
      </c>
      <c r="AJ125" s="258">
        <f>'FY30'!AV125</f>
        <v>3052976.7118549999</v>
      </c>
      <c r="AL125" s="258">
        <f>'FY26'!BD125</f>
        <v>285415</v>
      </c>
      <c r="AM125" s="258">
        <f>'FY27'!BD125</f>
        <v>317108.65000000002</v>
      </c>
      <c r="AN125" s="258">
        <f>'FY28'!BD125</f>
        <v>320472.2365</v>
      </c>
      <c r="AO125" s="258">
        <f>'FY29'!BD125</f>
        <v>323855.95886500005</v>
      </c>
      <c r="AP125" s="258">
        <f>'FY30'!BD125</f>
        <v>327260.01845365</v>
      </c>
      <c r="AR125" s="258">
        <f>'FY26'!BL125</f>
        <v>179500</v>
      </c>
      <c r="AS125" s="258">
        <f>'FY27'!BL125</f>
        <v>181295</v>
      </c>
      <c r="AT125" s="258">
        <f>'FY28'!BL125</f>
        <v>183107.95</v>
      </c>
      <c r="AU125" s="258">
        <f>'FY29'!BL125</f>
        <v>184939.0295</v>
      </c>
      <c r="AV125" s="258">
        <f>'FY30'!BL125</f>
        <v>186788.41979499999</v>
      </c>
      <c r="AX125" s="258">
        <f>'FY26'!BT125</f>
        <v>29104223.181250002</v>
      </c>
      <c r="AY125" s="258">
        <f>'FY27'!BT125</f>
        <v>30558316.02</v>
      </c>
      <c r="AZ125" s="258">
        <f>'FY28'!BT125</f>
        <v>31390430.386099998</v>
      </c>
      <c r="BA125" s="258">
        <f>'FY29'!BT125</f>
        <v>31866865.830861002</v>
      </c>
      <c r="BB125" s="258">
        <f>'FY30'!BT125</f>
        <v>32030789.389169611</v>
      </c>
    </row>
    <row r="126" spans="1:54" x14ac:dyDescent="0.25">
      <c r="A126" s="200" t="s">
        <v>375</v>
      </c>
      <c r="B126" s="241">
        <f>'FY26'!H126</f>
        <v>1192440.1125</v>
      </c>
      <c r="C126" s="241">
        <f>'FY27'!H126</f>
        <v>1243603.5983750001</v>
      </c>
      <c r="D126" s="241">
        <f>'FY28'!H126</f>
        <v>1274681.5212912501</v>
      </c>
      <c r="E126" s="241">
        <f>'FY29'!H126</f>
        <v>1304996.2911012378</v>
      </c>
      <c r="F126" s="241">
        <f>'FY30'!H126</f>
        <v>1324080.0946847955</v>
      </c>
      <c r="H126" s="241">
        <f>'FY26'!P126</f>
        <v>3046783.8066093749</v>
      </c>
      <c r="I126" s="241">
        <f>'FY27'!P126</f>
        <v>3145429.5408749999</v>
      </c>
      <c r="J126" s="241">
        <f>'FY28'!P126</f>
        <v>3222969.8253412503</v>
      </c>
      <c r="K126" s="241">
        <f>'FY29'!P126</f>
        <v>3299277.5015727375</v>
      </c>
      <c r="L126" s="241">
        <f>'FY30'!P126</f>
        <v>3352203.4126713206</v>
      </c>
      <c r="N126" s="241">
        <f>'FY26'!X126</f>
        <v>1270913.49</v>
      </c>
      <c r="O126" s="241">
        <f>'FY27'!X126</f>
        <v>1300939.6737500001</v>
      </c>
      <c r="P126" s="241">
        <f>'FY28'!X126</f>
        <v>1322165.7206250001</v>
      </c>
      <c r="Q126" s="241">
        <f>'FY29'!X126</f>
        <v>1353549.43276875</v>
      </c>
      <c r="R126" s="241">
        <f>'FY30'!X126</f>
        <v>1373790.1141753127</v>
      </c>
      <c r="T126" s="241">
        <f>'FY26'!AF126</f>
        <v>1599421.0049999999</v>
      </c>
      <c r="U126" s="241">
        <f>'FY27'!AF126</f>
        <v>1637751.2533500001</v>
      </c>
      <c r="V126" s="241">
        <f>'FY28'!AF126</f>
        <v>1678838.4365665</v>
      </c>
      <c r="W126" s="241">
        <f>'FY29'!AF126</f>
        <v>1719465.896821995</v>
      </c>
      <c r="X126" s="241">
        <f>'FY30'!AF126</f>
        <v>1748865.9822139433</v>
      </c>
      <c r="Z126" s="241">
        <f>'FY26'!AN126</f>
        <v>2903507.25</v>
      </c>
      <c r="AA126" s="241">
        <f>'FY27'!AN126</f>
        <v>3037929.3374999999</v>
      </c>
      <c r="AB126" s="241">
        <f>'FY28'!AN126</f>
        <v>3137691.1553750001</v>
      </c>
      <c r="AC126" s="241">
        <f>'FY29'!AN126</f>
        <v>3162502.0044112499</v>
      </c>
      <c r="AD126" s="241">
        <f>'FY30'!AN126</f>
        <v>3230769.0388926873</v>
      </c>
      <c r="AF126" s="241">
        <f>'FY26'!AV126</f>
        <v>511880.09249999997</v>
      </c>
      <c r="AG126" s="241">
        <f>'FY27'!AV126</f>
        <v>831663.95397500007</v>
      </c>
      <c r="AH126" s="241">
        <f>'FY28'!AV126</f>
        <v>1023439.2911499999</v>
      </c>
      <c r="AI126" s="241">
        <f>'FY29'!AV126</f>
        <v>1154670.9705787499</v>
      </c>
      <c r="AJ126" s="241">
        <f>'FY30'!AV126</f>
        <v>1183028.4758438126</v>
      </c>
      <c r="AL126" s="241">
        <f>'FY26'!BD126</f>
        <v>104890.0125</v>
      </c>
      <c r="AM126" s="241">
        <f>'FY27'!BD126</f>
        <v>118122.972125</v>
      </c>
      <c r="AN126" s="241">
        <f>'FY28'!BD126</f>
        <v>120978.26927875</v>
      </c>
      <c r="AO126" s="241">
        <f>'FY29'!BD126</f>
        <v>123874.9042658625</v>
      </c>
      <c r="AP126" s="241">
        <f>'FY30'!BD126</f>
        <v>126813.25715078937</v>
      </c>
      <c r="AR126" s="241">
        <f>'FY26'!BL126</f>
        <v>65966.25</v>
      </c>
      <c r="AS126" s="241">
        <f>'FY27'!BL126</f>
        <v>67040.012499999997</v>
      </c>
      <c r="AT126" s="241">
        <f>'FY28'!BL126</f>
        <v>68128.653624999992</v>
      </c>
      <c r="AU126" s="241">
        <f>'FY29'!BL126</f>
        <v>69232.363571249996</v>
      </c>
      <c r="AV126" s="241">
        <f>'FY30'!BL126</f>
        <v>72380.512670562515</v>
      </c>
      <c r="AX126" s="241">
        <f>'FY26'!BT126</f>
        <v>10695802.019109376</v>
      </c>
      <c r="AY126" s="241">
        <f>'FY27'!BT126</f>
        <v>11382480.34245</v>
      </c>
      <c r="AZ126" s="241">
        <f>'FY28'!BT126</f>
        <v>11848892.873252751</v>
      </c>
      <c r="BA126" s="241">
        <f>'FY29'!BT126</f>
        <v>12187569.365091832</v>
      </c>
      <c r="BB126" s="241">
        <f>'FY30'!BT126</f>
        <v>12411930.888303222</v>
      </c>
    </row>
    <row r="127" spans="1:54" x14ac:dyDescent="0.25">
      <c r="A127" s="201" t="s">
        <v>244</v>
      </c>
      <c r="B127" s="241">
        <f>'FY26'!H127</f>
        <v>522851.07499999995</v>
      </c>
      <c r="C127" s="241">
        <f>'FY27'!H127</f>
        <v>566298.36674999993</v>
      </c>
      <c r="D127" s="241">
        <f>'FY28'!H127</f>
        <v>598325.91561749997</v>
      </c>
      <c r="E127" s="241">
        <f>'FY29'!H127</f>
        <v>641434.72542367491</v>
      </c>
      <c r="F127" s="241">
        <f>'FY30'!H127</f>
        <v>680297.14002791175</v>
      </c>
      <c r="H127" s="241">
        <f>'FY26'!P127</f>
        <v>1308441.3181562498</v>
      </c>
      <c r="I127" s="241">
        <f>'FY27'!P127</f>
        <v>1401897.2767500002</v>
      </c>
      <c r="J127" s="241">
        <f>'FY28'!P127</f>
        <v>1506750.0785175001</v>
      </c>
      <c r="K127" s="241">
        <f>'FY29'!P127</f>
        <v>1621462.7943026749</v>
      </c>
      <c r="L127" s="241">
        <f>'FY30'!P127</f>
        <v>1724714.1382457018</v>
      </c>
      <c r="N127" s="241">
        <f>'FY26'!X127</f>
        <v>559377.05999999994</v>
      </c>
      <c r="O127" s="241">
        <f>'FY27'!X127</f>
        <v>595122.99749999994</v>
      </c>
      <c r="P127" s="241">
        <f>'FY28'!X127</f>
        <v>623743.53374999994</v>
      </c>
      <c r="Q127" s="241">
        <f>'FY29'!X127</f>
        <v>670157.50973750011</v>
      </c>
      <c r="R127" s="241">
        <f>'FY30'!X127</f>
        <v>711245.96648487507</v>
      </c>
      <c r="T127" s="241">
        <f>'FY26'!AF127</f>
        <v>693811.97</v>
      </c>
      <c r="U127" s="241">
        <f>'FY27'!AF127</f>
        <v>738002.89470000006</v>
      </c>
      <c r="V127" s="241">
        <f>'FY28'!AF127</f>
        <v>793476.93614699994</v>
      </c>
      <c r="W127" s="241">
        <f>'FY29'!AF127</f>
        <v>854183.85550846998</v>
      </c>
      <c r="X127" s="241">
        <f>'FY30'!AF127</f>
        <v>909515.11406355468</v>
      </c>
      <c r="Z127" s="241">
        <f>'FY26'!AN127</f>
        <v>1240427.875</v>
      </c>
      <c r="AA127" s="241">
        <f>'FY27'!AN127</f>
        <v>1345114.4249999998</v>
      </c>
      <c r="AB127" s="241">
        <f>'FY28'!AN127</f>
        <v>1456493.15925</v>
      </c>
      <c r="AC127" s="241">
        <f>'FY29'!AN127</f>
        <v>1543705.9343425001</v>
      </c>
      <c r="AD127" s="241">
        <f>'FY30'!AN127</f>
        <v>1657388.5819359249</v>
      </c>
      <c r="AF127" s="241">
        <f>'FY26'!AV127</f>
        <v>224181.19499999998</v>
      </c>
      <c r="AG127" s="241">
        <f>'FY27'!AV127</f>
        <v>371684.61466499994</v>
      </c>
      <c r="AH127" s="241">
        <f>'FY28'!AV127</f>
        <v>467639.841915</v>
      </c>
      <c r="AI127" s="241">
        <f>'FY29'!AV127</f>
        <v>576280.26859750005</v>
      </c>
      <c r="AJ127" s="241">
        <f>'FY30'!AV127</f>
        <v>621154.70203347504</v>
      </c>
      <c r="AL127" s="241">
        <f>'FY26'!BD127</f>
        <v>53219.174999999996</v>
      </c>
      <c r="AM127" s="241">
        <f>'FY27'!BD127</f>
        <v>65365.514249999993</v>
      </c>
      <c r="AN127" s="241">
        <f>'FY28'!BD127</f>
        <v>70549.000642499988</v>
      </c>
      <c r="AO127" s="241">
        <f>'FY29'!BD127</f>
        <v>76239.143148924995</v>
      </c>
      <c r="AP127" s="241">
        <f>'FY30'!BD127</f>
        <v>82465.700830414251</v>
      </c>
      <c r="AR127" s="241">
        <f>'FY26'!BL127</f>
        <v>31412.5</v>
      </c>
      <c r="AS127" s="241">
        <f>'FY27'!BL127</f>
        <v>31933.674999999999</v>
      </c>
      <c r="AT127" s="241">
        <f>'FY28'!BL127</f>
        <v>32462.132249999999</v>
      </c>
      <c r="AU127" s="241">
        <f>'FY29'!BL127</f>
        <v>33631.600392499997</v>
      </c>
      <c r="AV127" s="241">
        <f>'FY30'!BL127</f>
        <v>37357.683959000002</v>
      </c>
      <c r="AX127" s="241">
        <f>'FY26'!BT127</f>
        <v>4633722.1681562494</v>
      </c>
      <c r="AY127" s="241">
        <f>'FY27'!BT127</f>
        <v>5115419.7646149993</v>
      </c>
      <c r="AZ127" s="241">
        <f>'FY28'!BT127</f>
        <v>5549440.5980894994</v>
      </c>
      <c r="BA127" s="241">
        <f>'FY29'!BT127</f>
        <v>6017095.8314537462</v>
      </c>
      <c r="BB127" s="241">
        <f>'FY30'!BT127</f>
        <v>6424139.0275808573</v>
      </c>
    </row>
    <row r="128" spans="1:54" x14ac:dyDescent="0.25">
      <c r="A128" s="201" t="s">
        <v>245</v>
      </c>
      <c r="B128" s="241">
        <f>'FY26'!H128</f>
        <v>70250</v>
      </c>
      <c r="C128" s="241">
        <f>'FY27'!H128</f>
        <v>68500</v>
      </c>
      <c r="D128" s="241">
        <f>'FY28'!H128</f>
        <v>68500</v>
      </c>
      <c r="E128" s="241">
        <f>'FY29'!H128</f>
        <v>68500</v>
      </c>
      <c r="F128" s="241">
        <f>'FY30'!H128</f>
        <v>68000</v>
      </c>
      <c r="H128" s="241">
        <f>'FY26'!P128</f>
        <v>169500</v>
      </c>
      <c r="I128" s="241">
        <f>'FY27'!P128</f>
        <v>170750</v>
      </c>
      <c r="J128" s="241">
        <f>'FY28'!P128</f>
        <v>170750</v>
      </c>
      <c r="K128" s="241">
        <f>'FY29'!P128</f>
        <v>170750</v>
      </c>
      <c r="L128" s="241">
        <f>'FY30'!P128</f>
        <v>169750</v>
      </c>
      <c r="N128" s="241">
        <f>'FY26'!X128</f>
        <v>70500</v>
      </c>
      <c r="O128" s="241">
        <f>'FY27'!X128</f>
        <v>70500</v>
      </c>
      <c r="P128" s="241">
        <f>'FY28'!X128</f>
        <v>70000</v>
      </c>
      <c r="Q128" s="241">
        <f>'FY29'!X128</f>
        <v>70000</v>
      </c>
      <c r="R128" s="241">
        <f>'FY30'!X128</f>
        <v>69500</v>
      </c>
      <c r="T128" s="241">
        <f>'FY26'!AF128</f>
        <v>92000</v>
      </c>
      <c r="U128" s="241">
        <f>'FY27'!AF128</f>
        <v>92000</v>
      </c>
      <c r="V128" s="241">
        <f>'FY28'!AF128</f>
        <v>92000</v>
      </c>
      <c r="W128" s="241">
        <f>'FY29'!AF128</f>
        <v>92000</v>
      </c>
      <c r="X128" s="241">
        <f>'FY30'!AF128</f>
        <v>91500</v>
      </c>
      <c r="Z128" s="241">
        <f>'FY26'!AN128</f>
        <v>158250</v>
      </c>
      <c r="AA128" s="241">
        <f>'FY27'!AN128</f>
        <v>161750</v>
      </c>
      <c r="AB128" s="241">
        <f>'FY28'!AN128</f>
        <v>163000</v>
      </c>
      <c r="AC128" s="241">
        <f>'FY29'!AN128</f>
        <v>160500</v>
      </c>
      <c r="AD128" s="241">
        <f>'FY30'!AN128</f>
        <v>160250</v>
      </c>
      <c r="AF128" s="241">
        <f>'FY26'!AV128</f>
        <v>28750</v>
      </c>
      <c r="AG128" s="241">
        <f>'FY27'!AV128</f>
        <v>46500</v>
      </c>
      <c r="AH128" s="241">
        <f>'FY28'!AV128</f>
        <v>55875</v>
      </c>
      <c r="AI128" s="241">
        <f>'FY29'!AV128</f>
        <v>61500</v>
      </c>
      <c r="AJ128" s="241">
        <f>'FY30'!AV128</f>
        <v>61500</v>
      </c>
      <c r="AL128" s="241">
        <f>'FY26'!BD128</f>
        <v>4750</v>
      </c>
      <c r="AM128" s="241">
        <f>'FY27'!BD128</f>
        <v>5250</v>
      </c>
      <c r="AN128" s="241">
        <f>'FY28'!BD128</f>
        <v>5250</v>
      </c>
      <c r="AO128" s="241">
        <f>'FY29'!BD128</f>
        <v>5250</v>
      </c>
      <c r="AP128" s="241">
        <f>'FY30'!BD128</f>
        <v>5250</v>
      </c>
      <c r="AR128" s="241">
        <f>'FY26'!BL128</f>
        <v>2750</v>
      </c>
      <c r="AS128" s="241">
        <f>'FY27'!BL128</f>
        <v>2750</v>
      </c>
      <c r="AT128" s="241">
        <f>'FY28'!BL128</f>
        <v>2750</v>
      </c>
      <c r="AU128" s="241">
        <f>'FY29'!BL128</f>
        <v>2750</v>
      </c>
      <c r="AV128" s="241">
        <f>'FY30'!BL128</f>
        <v>2750</v>
      </c>
      <c r="AX128" s="241">
        <f>'FY26'!BT128</f>
        <v>596750</v>
      </c>
      <c r="AY128" s="241">
        <f>'FY27'!BT128</f>
        <v>618000</v>
      </c>
      <c r="AZ128" s="241">
        <f>'FY28'!BT128</f>
        <v>628125</v>
      </c>
      <c r="BA128" s="241">
        <f>'FY29'!BT128</f>
        <v>631250</v>
      </c>
      <c r="BB128" s="241">
        <f>'FY30'!BT128</f>
        <v>628500</v>
      </c>
    </row>
    <row r="129" spans="1:54" x14ac:dyDescent="0.25">
      <c r="A129" s="201" t="s">
        <v>246</v>
      </c>
      <c r="B129" s="241">
        <f>'FY26'!H129</f>
        <v>10638.75</v>
      </c>
      <c r="C129" s="241">
        <f>'FY27'!H129</f>
        <v>10813.75</v>
      </c>
      <c r="D129" s="241">
        <f>'FY28'!H129</f>
        <v>10813.75</v>
      </c>
      <c r="E129" s="241">
        <f>'FY29'!H129</f>
        <v>10813.75</v>
      </c>
      <c r="F129" s="241">
        <f>'FY30'!H129</f>
        <v>10732</v>
      </c>
      <c r="H129" s="241">
        <f>'FY26'!P129</f>
        <v>26996.25</v>
      </c>
      <c r="I129" s="241">
        <f>'FY27'!P129</f>
        <v>27171.25</v>
      </c>
      <c r="J129" s="241">
        <f>'FY28'!P129</f>
        <v>27171.25</v>
      </c>
      <c r="K129" s="241">
        <f>'FY29'!P129</f>
        <v>27171.25</v>
      </c>
      <c r="L129" s="241">
        <f>'FY30'!P129</f>
        <v>27007.75</v>
      </c>
      <c r="N129" s="241">
        <f>'FY26'!X129</f>
        <v>11138.625</v>
      </c>
      <c r="O129" s="241">
        <f>'FY27'!X129</f>
        <v>11138.625</v>
      </c>
      <c r="P129" s="241">
        <f>'FY28'!X129</f>
        <v>11056.875</v>
      </c>
      <c r="Q129" s="241">
        <f>'FY29'!X129</f>
        <v>11056.875</v>
      </c>
      <c r="R129" s="241">
        <f>'FY30'!X129</f>
        <v>10975.125</v>
      </c>
      <c r="T129" s="241">
        <f>'FY26'!AF129</f>
        <v>15266.625</v>
      </c>
      <c r="U129" s="241">
        <f>'FY27'!AF129</f>
        <v>15266.625</v>
      </c>
      <c r="V129" s="241">
        <f>'FY28'!AF129</f>
        <v>15266.625</v>
      </c>
      <c r="W129" s="241">
        <f>'FY29'!AF129</f>
        <v>15266.625</v>
      </c>
      <c r="X129" s="241">
        <f>'FY30'!AF129</f>
        <v>15184.875</v>
      </c>
      <c r="Z129" s="241">
        <f>'FY26'!AN129</f>
        <v>27052.875</v>
      </c>
      <c r="AA129" s="241">
        <f>'FY27'!AN129</f>
        <v>27537</v>
      </c>
      <c r="AB129" s="241">
        <f>'FY28'!AN129</f>
        <v>27712</v>
      </c>
      <c r="AC129" s="241">
        <f>'FY29'!AN129</f>
        <v>27362</v>
      </c>
      <c r="AD129" s="241">
        <f>'FY30'!AN129</f>
        <v>27321.125</v>
      </c>
      <c r="AF129" s="241">
        <f>'FY26'!AV129</f>
        <v>4033.5</v>
      </c>
      <c r="AG129" s="241">
        <f>'FY27'!AV129</f>
        <v>6647</v>
      </c>
      <c r="AH129" s="241">
        <f>'FY28'!AV129</f>
        <v>7841.125</v>
      </c>
      <c r="AI129" s="241">
        <f>'FY29'!AV129</f>
        <v>8658</v>
      </c>
      <c r="AJ129" s="241">
        <f>'FY30'!AV129</f>
        <v>8658</v>
      </c>
      <c r="AL129" s="241">
        <f>'FY26'!BD129</f>
        <v>692.75</v>
      </c>
      <c r="AM129" s="241">
        <f>'FY27'!BD129</f>
        <v>774.5</v>
      </c>
      <c r="AN129" s="241">
        <f>'FY28'!BD129</f>
        <v>774.5</v>
      </c>
      <c r="AO129" s="241">
        <f>'FY29'!BD129</f>
        <v>774.5</v>
      </c>
      <c r="AP129" s="241">
        <f>'FY30'!BD129</f>
        <v>774.5</v>
      </c>
      <c r="AR129" s="241">
        <f>'FY26'!BL129</f>
        <v>365.75</v>
      </c>
      <c r="AS129" s="241">
        <f>'FY27'!BL129</f>
        <v>365.75</v>
      </c>
      <c r="AT129" s="241">
        <f>'FY28'!BL129</f>
        <v>365.75</v>
      </c>
      <c r="AU129" s="241">
        <f>'FY29'!BL129</f>
        <v>365.75</v>
      </c>
      <c r="AV129" s="241">
        <f>'FY30'!BL129</f>
        <v>365.75</v>
      </c>
      <c r="AX129" s="241">
        <f>'FY26'!BT129</f>
        <v>96185.125</v>
      </c>
      <c r="AY129" s="241">
        <f>'FY27'!BT129</f>
        <v>99714.5</v>
      </c>
      <c r="AZ129" s="241">
        <f>'FY28'!BT129</f>
        <v>101001.875</v>
      </c>
      <c r="BA129" s="241">
        <f>'FY29'!BT129</f>
        <v>101468.75</v>
      </c>
      <c r="BB129" s="241">
        <f>'FY30'!BT129</f>
        <v>101019.125</v>
      </c>
    </row>
    <row r="130" spans="1:54" x14ac:dyDescent="0.25">
      <c r="A130" s="201" t="s">
        <v>247</v>
      </c>
      <c r="B130" s="241">
        <f>'FY26'!H130</f>
        <v>0</v>
      </c>
      <c r="C130" s="241">
        <f>'FY27'!H130</f>
        <v>0</v>
      </c>
      <c r="D130" s="241">
        <f>'FY28'!H130</f>
        <v>0</v>
      </c>
      <c r="E130" s="241">
        <f>'FY29'!H130</f>
        <v>0</v>
      </c>
      <c r="F130" s="241">
        <f>'FY30'!H130</f>
        <v>0</v>
      </c>
      <c r="H130" s="241">
        <f>'FY26'!P130</f>
        <v>0</v>
      </c>
      <c r="I130" s="241">
        <f>'FY27'!P130</f>
        <v>0</v>
      </c>
      <c r="J130" s="241">
        <f>'FY28'!P130</f>
        <v>0</v>
      </c>
      <c r="K130" s="241">
        <f>'FY29'!P130</f>
        <v>0</v>
      </c>
      <c r="L130" s="241">
        <f>'FY30'!P130</f>
        <v>0</v>
      </c>
      <c r="N130" s="241">
        <f>'FY26'!X130</f>
        <v>0</v>
      </c>
      <c r="O130" s="241">
        <f>'FY27'!X130</f>
        <v>0</v>
      </c>
      <c r="P130" s="241">
        <f>'FY28'!X130</f>
        <v>0</v>
      </c>
      <c r="Q130" s="241">
        <f>'FY29'!X130</f>
        <v>0</v>
      </c>
      <c r="R130" s="241">
        <f>'FY30'!X130</f>
        <v>0</v>
      </c>
      <c r="T130" s="241">
        <f>'FY26'!AF130</f>
        <v>0</v>
      </c>
      <c r="U130" s="241">
        <f>'FY27'!AF130</f>
        <v>0</v>
      </c>
      <c r="V130" s="241">
        <f>'FY28'!AF130</f>
        <v>0</v>
      </c>
      <c r="W130" s="241">
        <f>'FY29'!AF130</f>
        <v>0</v>
      </c>
      <c r="X130" s="241">
        <f>'FY30'!AF130</f>
        <v>0</v>
      </c>
      <c r="Z130" s="241">
        <f>'FY26'!AN130</f>
        <v>0</v>
      </c>
      <c r="AA130" s="241">
        <f>'FY27'!AN130</f>
        <v>0</v>
      </c>
      <c r="AB130" s="241">
        <f>'FY28'!AN130</f>
        <v>0</v>
      </c>
      <c r="AC130" s="241">
        <f>'FY29'!AN130</f>
        <v>0</v>
      </c>
      <c r="AD130" s="241">
        <f>'FY30'!AN130</f>
        <v>0</v>
      </c>
      <c r="AF130" s="241">
        <f>'FY26'!AV130</f>
        <v>2500</v>
      </c>
      <c r="AG130" s="241">
        <f>'FY27'!AV130</f>
        <v>2500</v>
      </c>
      <c r="AH130" s="241">
        <f>'FY28'!AV130</f>
        <v>2500</v>
      </c>
      <c r="AI130" s="241">
        <f>'FY29'!AV130</f>
        <v>2500</v>
      </c>
      <c r="AJ130" s="241">
        <f>'FY30'!AV130</f>
        <v>2500</v>
      </c>
      <c r="AL130" s="241">
        <f>'FY26'!BD130</f>
        <v>264500</v>
      </c>
      <c r="AM130" s="241">
        <f>'FY27'!BD130</f>
        <v>336500</v>
      </c>
      <c r="AN130" s="241">
        <f>'FY28'!BD130</f>
        <v>349020</v>
      </c>
      <c r="AO130" s="241">
        <f>'FY29'!BD130</f>
        <v>361040</v>
      </c>
      <c r="AP130" s="241">
        <f>'FY30'!BD130</f>
        <v>372560</v>
      </c>
      <c r="AR130" s="241">
        <f>'FY26'!BL130</f>
        <v>0</v>
      </c>
      <c r="AS130" s="241">
        <f>'FY27'!BL130</f>
        <v>0</v>
      </c>
      <c r="AT130" s="241">
        <f>'FY28'!BL130</f>
        <v>0</v>
      </c>
      <c r="AU130" s="241">
        <f>'FY29'!BL130</f>
        <v>0</v>
      </c>
      <c r="AV130" s="241">
        <f>'FY30'!BL130</f>
        <v>0</v>
      </c>
      <c r="AX130" s="241">
        <f>'FY26'!BT130</f>
        <v>267000</v>
      </c>
      <c r="AY130" s="241">
        <f>'FY27'!BT130</f>
        <v>339000</v>
      </c>
      <c r="AZ130" s="241">
        <f>'FY28'!BT130</f>
        <v>351520</v>
      </c>
      <c r="BA130" s="241">
        <f>'FY29'!BT130</f>
        <v>363540</v>
      </c>
      <c r="BB130" s="241">
        <f>'FY30'!BT130</f>
        <v>375060</v>
      </c>
    </row>
    <row r="131" spans="1:54" x14ac:dyDescent="0.25">
      <c r="A131" s="202" t="s">
        <v>248</v>
      </c>
      <c r="B131" s="262">
        <f>'FY26'!H131</f>
        <v>10000</v>
      </c>
      <c r="C131" s="262">
        <f>'FY27'!H131</f>
        <v>10000</v>
      </c>
      <c r="D131" s="262">
        <f>'FY28'!H131</f>
        <v>10000</v>
      </c>
      <c r="E131" s="262">
        <f>'FY29'!H131</f>
        <v>10000</v>
      </c>
      <c r="F131" s="262">
        <f>'FY30'!H131</f>
        <v>10000</v>
      </c>
      <c r="H131" s="262">
        <f>'FY26'!P131</f>
        <v>15000</v>
      </c>
      <c r="I131" s="262">
        <f>'FY27'!P131</f>
        <v>15000</v>
      </c>
      <c r="J131" s="262">
        <f>'FY28'!P131</f>
        <v>15000</v>
      </c>
      <c r="K131" s="262">
        <f>'FY29'!P131</f>
        <v>15000</v>
      </c>
      <c r="L131" s="262">
        <f>'FY30'!P131</f>
        <v>15000</v>
      </c>
      <c r="N131" s="262">
        <f>'FY26'!X131</f>
        <v>15000</v>
      </c>
      <c r="O131" s="262">
        <f>'FY27'!X131</f>
        <v>15000</v>
      </c>
      <c r="P131" s="262">
        <f>'FY28'!X131</f>
        <v>15000</v>
      </c>
      <c r="Q131" s="262">
        <f>'FY29'!X131</f>
        <v>15000</v>
      </c>
      <c r="R131" s="262">
        <f>'FY30'!X131</f>
        <v>15000</v>
      </c>
      <c r="T131" s="262">
        <f>'FY26'!AF131</f>
        <v>15000</v>
      </c>
      <c r="U131" s="262">
        <f>'FY27'!AF131</f>
        <v>15000</v>
      </c>
      <c r="V131" s="262">
        <f>'FY28'!AF131</f>
        <v>15000</v>
      </c>
      <c r="W131" s="262">
        <f>'FY29'!AF131</f>
        <v>15000</v>
      </c>
      <c r="X131" s="262">
        <f>'FY30'!AF131</f>
        <v>15000</v>
      </c>
      <c r="Z131" s="262">
        <f>'FY26'!AN131</f>
        <v>15000</v>
      </c>
      <c r="AA131" s="262">
        <f>'FY27'!AN131</f>
        <v>15000</v>
      </c>
      <c r="AB131" s="262">
        <f>'FY28'!AN131</f>
        <v>15000</v>
      </c>
      <c r="AC131" s="262">
        <f>'FY29'!AN131</f>
        <v>15000</v>
      </c>
      <c r="AD131" s="262">
        <f>'FY30'!AN131</f>
        <v>15000</v>
      </c>
      <c r="AF131" s="262">
        <f>'FY26'!AV131</f>
        <v>3000</v>
      </c>
      <c r="AG131" s="262">
        <f>'FY27'!AV131</f>
        <v>3000</v>
      </c>
      <c r="AH131" s="262">
        <f>'FY28'!AV131</f>
        <v>3000</v>
      </c>
      <c r="AI131" s="262">
        <f>'FY29'!AV131</f>
        <v>3000</v>
      </c>
      <c r="AJ131" s="262">
        <f>'FY30'!AV131</f>
        <v>3000</v>
      </c>
      <c r="AL131" s="262">
        <f>'FY26'!BD131</f>
        <v>2000</v>
      </c>
      <c r="AM131" s="262">
        <f>'FY27'!BD131</f>
        <v>2000</v>
      </c>
      <c r="AN131" s="262">
        <f>'FY28'!BD131</f>
        <v>2000</v>
      </c>
      <c r="AO131" s="262">
        <f>'FY29'!BD131</f>
        <v>2000</v>
      </c>
      <c r="AP131" s="262">
        <f>'FY30'!BD131</f>
        <v>2000</v>
      </c>
      <c r="AR131" s="262">
        <f>'FY26'!BL131</f>
        <v>0</v>
      </c>
      <c r="AS131" s="262">
        <f>'FY27'!BL131</f>
        <v>0</v>
      </c>
      <c r="AT131" s="262">
        <f>'FY28'!BL131</f>
        <v>0</v>
      </c>
      <c r="AU131" s="262">
        <f>'FY29'!BL131</f>
        <v>0</v>
      </c>
      <c r="AV131" s="262">
        <f>'FY30'!BL131</f>
        <v>0</v>
      </c>
      <c r="AX131" s="262">
        <f>'FY26'!BT131</f>
        <v>75000</v>
      </c>
      <c r="AY131" s="262">
        <f>'FY27'!BT131</f>
        <v>75000</v>
      </c>
      <c r="AZ131" s="262">
        <f>'FY28'!BT131</f>
        <v>75000</v>
      </c>
      <c r="BA131" s="262">
        <f>'FY29'!BT131</f>
        <v>75000</v>
      </c>
      <c r="BB131" s="262">
        <f>'FY30'!BT131</f>
        <v>75000</v>
      </c>
    </row>
    <row r="132" spans="1:54" x14ac:dyDescent="0.25">
      <c r="A132" s="207" t="s">
        <v>330</v>
      </c>
      <c r="B132" s="258">
        <f>'FY26'!H132</f>
        <v>1806179.9375</v>
      </c>
      <c r="C132" s="258">
        <f>'FY27'!H132</f>
        <v>1899215.7151250001</v>
      </c>
      <c r="D132" s="258">
        <f>'FY28'!H132</f>
        <v>1962321.1869087501</v>
      </c>
      <c r="E132" s="258">
        <f>'FY29'!H132</f>
        <v>2035744.7665249128</v>
      </c>
      <c r="F132" s="258">
        <f>'FY30'!H132</f>
        <v>2093109.2347127073</v>
      </c>
      <c r="H132" s="258">
        <f>'FY26'!P132</f>
        <v>4566721.3747656252</v>
      </c>
      <c r="I132" s="258">
        <f>'FY27'!P132</f>
        <v>4760248.0676250001</v>
      </c>
      <c r="J132" s="258">
        <f>'FY28'!P132</f>
        <v>4942641.1538587501</v>
      </c>
      <c r="K132" s="258">
        <f>'FY29'!P132</f>
        <v>5133661.5458754124</v>
      </c>
      <c r="L132" s="258">
        <f>'FY30'!P132</f>
        <v>5288675.3009170219</v>
      </c>
      <c r="N132" s="258">
        <f>'FY26'!X132</f>
        <v>1926929.1749999998</v>
      </c>
      <c r="O132" s="258">
        <f>'FY27'!X132</f>
        <v>1992701.2962500001</v>
      </c>
      <c r="P132" s="258">
        <f>'FY28'!X132</f>
        <v>2041966.129375</v>
      </c>
      <c r="Q132" s="258">
        <f>'FY29'!X132</f>
        <v>2119763.81750625</v>
      </c>
      <c r="R132" s="258">
        <f>'FY30'!X132</f>
        <v>2180511.2056601876</v>
      </c>
      <c r="T132" s="258">
        <f>'FY26'!AF132</f>
        <v>2415499.5999999996</v>
      </c>
      <c r="U132" s="258">
        <f>'FY27'!AF132</f>
        <v>2498020.77305</v>
      </c>
      <c r="V132" s="258">
        <f>'FY28'!AF132</f>
        <v>2594581.9977134997</v>
      </c>
      <c r="W132" s="258">
        <f>'FY29'!AF132</f>
        <v>2695916.3773304652</v>
      </c>
      <c r="X132" s="258">
        <f>'FY30'!AF132</f>
        <v>2780065.9712774977</v>
      </c>
      <c r="Z132" s="258">
        <f>'FY26'!AN132</f>
        <v>4344238</v>
      </c>
      <c r="AA132" s="258">
        <f>'FY27'!AN132</f>
        <v>4587330.7624999993</v>
      </c>
      <c r="AB132" s="258">
        <f>'FY28'!AN132</f>
        <v>4799896.3146250006</v>
      </c>
      <c r="AC132" s="258">
        <f>'FY29'!AN132</f>
        <v>4909069.9387537502</v>
      </c>
      <c r="AD132" s="258">
        <f>'FY30'!AN132</f>
        <v>5090728.7458286118</v>
      </c>
      <c r="AF132" s="258">
        <f>'FY26'!AV132</f>
        <v>774344.78749999998</v>
      </c>
      <c r="AG132" s="258">
        <f>'FY27'!AV132</f>
        <v>1261995.56864</v>
      </c>
      <c r="AH132" s="258">
        <f>'FY28'!AV132</f>
        <v>1560295.2580649999</v>
      </c>
      <c r="AI132" s="258">
        <f>'FY29'!AV132</f>
        <v>1806609.2391762501</v>
      </c>
      <c r="AJ132" s="258">
        <f>'FY30'!AV132</f>
        <v>1879841.1778772876</v>
      </c>
      <c r="AL132" s="258">
        <f>'FY26'!BD132</f>
        <v>430051.9375</v>
      </c>
      <c r="AM132" s="258">
        <f>'FY27'!BD132</f>
        <v>528012.98637499998</v>
      </c>
      <c r="AN132" s="258">
        <f>'FY28'!BD132</f>
        <v>548571.76992124994</v>
      </c>
      <c r="AO132" s="258">
        <f>'FY29'!BD132</f>
        <v>569178.54741478746</v>
      </c>
      <c r="AP132" s="258">
        <f>'FY30'!BD132</f>
        <v>589863.45798120368</v>
      </c>
      <c r="AR132" s="258">
        <f>'FY26'!BL132</f>
        <v>100494.5</v>
      </c>
      <c r="AS132" s="258">
        <f>'FY27'!BL132</f>
        <v>102089.4375</v>
      </c>
      <c r="AT132" s="258">
        <f>'FY28'!BL132</f>
        <v>103706.53587499999</v>
      </c>
      <c r="AU132" s="258">
        <f>'FY29'!BL132</f>
        <v>105979.71396374999</v>
      </c>
      <c r="AV132" s="258">
        <f>'FY30'!BL132</f>
        <v>112853.94662956252</v>
      </c>
      <c r="AX132" s="258">
        <f>'FY26'!BT132</f>
        <v>16364459.312265625</v>
      </c>
      <c r="AY132" s="258">
        <f>'FY27'!BT132</f>
        <v>17629614.607065</v>
      </c>
      <c r="AZ132" s="258">
        <f>'FY28'!BT132</f>
        <v>18553980.346342251</v>
      </c>
      <c r="BA132" s="258">
        <f>'FY29'!BT132</f>
        <v>19375923.946545579</v>
      </c>
      <c r="BB132" s="258">
        <f>'FY30'!BT132</f>
        <v>20015649.040884078</v>
      </c>
    </row>
    <row r="133" spans="1:54" x14ac:dyDescent="0.25">
      <c r="B133" s="263">
        <f>'FY26'!H133</f>
        <v>0</v>
      </c>
      <c r="C133" s="263">
        <f>'FY27'!H133</f>
        <v>0</v>
      </c>
      <c r="D133" s="263">
        <f>'FY28'!H133</f>
        <v>0</v>
      </c>
      <c r="E133" s="263">
        <f>'FY29'!H133</f>
        <v>0</v>
      </c>
      <c r="F133" s="263">
        <f>'FY30'!H133</f>
        <v>0</v>
      </c>
      <c r="H133" s="263">
        <f>'FY26'!P133</f>
        <v>0</v>
      </c>
      <c r="I133" s="263">
        <f>'FY27'!P133</f>
        <v>0</v>
      </c>
      <c r="J133" s="263">
        <f>'FY28'!P133</f>
        <v>0</v>
      </c>
      <c r="K133" s="263">
        <f>'FY29'!P133</f>
        <v>0</v>
      </c>
      <c r="L133" s="263">
        <f>'FY30'!P133</f>
        <v>0</v>
      </c>
      <c r="N133" s="263">
        <f>'FY26'!X133</f>
        <v>0</v>
      </c>
      <c r="O133" s="263">
        <f>'FY27'!X133</f>
        <v>0</v>
      </c>
      <c r="P133" s="263">
        <f>'FY28'!X133</f>
        <v>0</v>
      </c>
      <c r="Q133" s="263">
        <f>'FY29'!X133</f>
        <v>0</v>
      </c>
      <c r="R133" s="263">
        <f>'FY30'!X133</f>
        <v>0</v>
      </c>
      <c r="T133" s="263">
        <f>'FY26'!AF133</f>
        <v>0</v>
      </c>
      <c r="U133" s="263">
        <f>'FY27'!AF133</f>
        <v>0</v>
      </c>
      <c r="V133" s="263">
        <f>'FY28'!AF133</f>
        <v>0</v>
      </c>
      <c r="W133" s="263">
        <f>'FY29'!AF133</f>
        <v>0</v>
      </c>
      <c r="X133" s="263">
        <f>'FY30'!AF133</f>
        <v>0</v>
      </c>
      <c r="Z133" s="263">
        <f>'FY26'!AN133</f>
        <v>0</v>
      </c>
      <c r="AA133" s="263">
        <f>'FY27'!AN133</f>
        <v>0</v>
      </c>
      <c r="AB133" s="263">
        <f>'FY28'!AN133</f>
        <v>0</v>
      </c>
      <c r="AC133" s="263">
        <f>'FY29'!AN133</f>
        <v>0</v>
      </c>
      <c r="AD133" s="263">
        <f>'FY30'!AN133</f>
        <v>0</v>
      </c>
      <c r="AF133" s="263">
        <f>'FY26'!AV133</f>
        <v>0</v>
      </c>
      <c r="AG133" s="263">
        <f>'FY27'!AV133</f>
        <v>0</v>
      </c>
      <c r="AH133" s="263">
        <f>'FY28'!AV133</f>
        <v>0</v>
      </c>
      <c r="AI133" s="263">
        <f>'FY29'!AV133</f>
        <v>0</v>
      </c>
      <c r="AJ133" s="263">
        <f>'FY30'!AV133</f>
        <v>0</v>
      </c>
      <c r="AL133" s="263">
        <f>'FY26'!BD133</f>
        <v>0</v>
      </c>
      <c r="AM133" s="263">
        <f>'FY27'!BD133</f>
        <v>0</v>
      </c>
      <c r="AN133" s="263">
        <f>'FY28'!BD133</f>
        <v>0</v>
      </c>
      <c r="AO133" s="263">
        <f>'FY29'!BD133</f>
        <v>0</v>
      </c>
      <c r="AP133" s="263">
        <f>'FY30'!BD133</f>
        <v>0</v>
      </c>
      <c r="AR133" s="263">
        <f>'FY26'!BL133</f>
        <v>0</v>
      </c>
      <c r="AS133" s="263">
        <f>'FY27'!BL133</f>
        <v>0</v>
      </c>
      <c r="AT133" s="263">
        <f>'FY28'!BL133</f>
        <v>0</v>
      </c>
      <c r="AU133" s="263">
        <f>'FY29'!BL133</f>
        <v>0</v>
      </c>
      <c r="AV133" s="263">
        <f>'FY30'!BL133</f>
        <v>0</v>
      </c>
      <c r="AX133" s="263">
        <f>'FY26'!BT133</f>
        <v>0</v>
      </c>
      <c r="AY133" s="263">
        <f>'FY27'!BT133</f>
        <v>0</v>
      </c>
      <c r="AZ133" s="263">
        <f>'FY28'!BT133</f>
        <v>0</v>
      </c>
      <c r="BA133" s="263">
        <f>'FY29'!BT133</f>
        <v>0</v>
      </c>
      <c r="BB133" s="263">
        <f>'FY30'!BT133</f>
        <v>0</v>
      </c>
    </row>
    <row r="134" spans="1:54" x14ac:dyDescent="0.25">
      <c r="A134" s="208" t="s">
        <v>376</v>
      </c>
      <c r="B134" s="260" t="str">
        <f>'FY26'!H134</f>
        <v>Total (25-26)</v>
      </c>
      <c r="C134" s="260" t="str">
        <f>'FY27'!H134</f>
        <v>Horizon</v>
      </c>
      <c r="D134" s="260" t="str">
        <f>'FY28'!H134</f>
        <v>Horizon</v>
      </c>
      <c r="E134" s="260" t="str">
        <f>'FY29'!H134</f>
        <v>Horizon</v>
      </c>
      <c r="F134" s="260" t="str">
        <f>'FY30'!H134</f>
        <v>Horizon</v>
      </c>
      <c r="H134" s="260" t="str">
        <f>'FY26'!P134</f>
        <v>Cadence</v>
      </c>
      <c r="I134" s="260" t="str">
        <f>'FY27'!P134</f>
        <v>Cadence</v>
      </c>
      <c r="J134" s="260" t="str">
        <f>'FY28'!P134</f>
        <v>Cadence</v>
      </c>
      <c r="K134" s="260" t="str">
        <f>'FY29'!P134</f>
        <v>Cadence</v>
      </c>
      <c r="L134" s="260" t="str">
        <f>'FY30'!P134</f>
        <v>Cadence</v>
      </c>
      <c r="N134" s="260" t="str">
        <f>'FY26'!X134</f>
        <v>St. Rose</v>
      </c>
      <c r="O134" s="260" t="str">
        <f>'FY27'!X134</f>
        <v>St. Rose</v>
      </c>
      <c r="P134" s="260" t="str">
        <f>'FY28'!X134</f>
        <v>St. Rose</v>
      </c>
      <c r="Q134" s="260" t="str">
        <f>'FY29'!X134</f>
        <v>St. Rose</v>
      </c>
      <c r="R134" s="260" t="str">
        <f>'FY30'!X134</f>
        <v>St. Rose</v>
      </c>
      <c r="T134" s="260" t="str">
        <f>'FY26'!AF134</f>
        <v>Inspirada</v>
      </c>
      <c r="U134" s="260" t="str">
        <f>'FY27'!AF134</f>
        <v>Inspirada</v>
      </c>
      <c r="V134" s="260" t="str">
        <f>'FY28'!AF134</f>
        <v>Inspirada</v>
      </c>
      <c r="W134" s="260" t="str">
        <f>'FY29'!AF134</f>
        <v>Inspirada</v>
      </c>
      <c r="X134" s="260" t="str">
        <f>'FY30'!AF134</f>
        <v>Inspirada</v>
      </c>
      <c r="Z134" s="260" t="str">
        <f>'FY26'!AN134</f>
        <v>Sloan</v>
      </c>
      <c r="AA134" s="260" t="str">
        <f>'FY27'!AN134</f>
        <v>Sloan</v>
      </c>
      <c r="AB134" s="260" t="str">
        <f>'FY28'!AN134</f>
        <v>Sloan</v>
      </c>
      <c r="AC134" s="260" t="str">
        <f>'FY29'!AN134</f>
        <v>Sloan</v>
      </c>
      <c r="AD134" s="260" t="str">
        <f>'FY30'!AN134</f>
        <v>Sloan</v>
      </c>
      <c r="AF134" s="260" t="str">
        <f>'FY26'!AV134</f>
        <v>Springs</v>
      </c>
      <c r="AG134" s="260" t="str">
        <f>'FY27'!AV134</f>
        <v>Springs</v>
      </c>
      <c r="AH134" s="260" t="str">
        <f>'FY28'!AV134</f>
        <v>Springs</v>
      </c>
      <c r="AI134" s="260" t="str">
        <f>'FY29'!AV134</f>
        <v>Springs</v>
      </c>
      <c r="AJ134" s="260" t="str">
        <f>'FY30'!AV134</f>
        <v>Springs</v>
      </c>
      <c r="AL134" s="260" t="str">
        <f>'FY26'!BD134</f>
        <v>Virtual</v>
      </c>
      <c r="AM134" s="260" t="str">
        <f>'FY27'!BD134</f>
        <v>Virtual</v>
      </c>
      <c r="AN134" s="260" t="str">
        <f>'FY28'!BD134</f>
        <v>Virtual</v>
      </c>
      <c r="AO134" s="260" t="str">
        <f>'FY29'!BD134</f>
        <v>Virtual</v>
      </c>
      <c r="AP134" s="260" t="str">
        <f>'FY30'!BD134</f>
        <v>Virtual</v>
      </c>
      <c r="AR134" s="260" t="str">
        <f>'FY26'!BL134</f>
        <v>Central</v>
      </c>
      <c r="AS134" s="260" t="str">
        <f>'FY27'!BL134</f>
        <v>Central</v>
      </c>
      <c r="AT134" s="260" t="str">
        <f>'FY28'!BL134</f>
        <v>Central</v>
      </c>
      <c r="AU134" s="260" t="str">
        <f>'FY29'!BL134</f>
        <v>Central</v>
      </c>
      <c r="AV134" s="260" t="str">
        <f>'FY30'!BL134</f>
        <v>Central</v>
      </c>
      <c r="AX134" s="260" t="str">
        <f>'FY26'!BT134</f>
        <v>System</v>
      </c>
      <c r="AY134" s="260" t="str">
        <f>'FY27'!BT134</f>
        <v>System</v>
      </c>
      <c r="AZ134" s="260" t="str">
        <f>'FY28'!BT134</f>
        <v>System</v>
      </c>
      <c r="BA134" s="260" t="str">
        <f>'FY29'!BT134</f>
        <v>System</v>
      </c>
      <c r="BB134" s="260" t="str">
        <f>'FY30'!BT134</f>
        <v>System</v>
      </c>
    </row>
    <row r="135" spans="1:54" x14ac:dyDescent="0.25">
      <c r="A135" s="209" t="s">
        <v>252</v>
      </c>
      <c r="B135" s="257">
        <f>'FY26'!H135</f>
        <v>213750</v>
      </c>
      <c r="C135" s="257">
        <f>'FY27'!H135</f>
        <v>218500</v>
      </c>
      <c r="D135" s="257">
        <f>'FY28'!H135</f>
        <v>223250</v>
      </c>
      <c r="E135" s="257">
        <f>'FY29'!H135</f>
        <v>228000</v>
      </c>
      <c r="F135" s="257">
        <f>'FY30'!H135</f>
        <v>232750</v>
      </c>
      <c r="H135" s="257">
        <f>'FY26'!P135</f>
        <v>562500</v>
      </c>
      <c r="I135" s="257">
        <f>'FY27'!P135</f>
        <v>575000</v>
      </c>
      <c r="J135" s="257">
        <f>'FY28'!P135</f>
        <v>599250</v>
      </c>
      <c r="K135" s="257">
        <f>'FY29'!P135</f>
        <v>612000</v>
      </c>
      <c r="L135" s="257">
        <f>'FY30'!P135</f>
        <v>624750</v>
      </c>
      <c r="N135" s="257">
        <f>'FY26'!X135</f>
        <v>236250</v>
      </c>
      <c r="O135" s="257">
        <f>'FY27'!X135</f>
        <v>241500</v>
      </c>
      <c r="P135" s="257">
        <f>'FY28'!X135</f>
        <v>246750</v>
      </c>
      <c r="Q135" s="257">
        <f>'FY29'!X135</f>
        <v>252000</v>
      </c>
      <c r="R135" s="257">
        <f>'FY30'!X135</f>
        <v>257250</v>
      </c>
      <c r="T135" s="257">
        <f>'FY26'!AF135</f>
        <v>270000</v>
      </c>
      <c r="U135" s="257">
        <f>'FY27'!AF135</f>
        <v>276000</v>
      </c>
      <c r="V135" s="257">
        <f>'FY28'!AF135</f>
        <v>282000</v>
      </c>
      <c r="W135" s="257">
        <f>'FY29'!AF135</f>
        <v>288000</v>
      </c>
      <c r="X135" s="257">
        <f>'FY30'!AF135</f>
        <v>294000</v>
      </c>
      <c r="Z135" s="257">
        <f>'FY26'!AN135</f>
        <v>551250</v>
      </c>
      <c r="AA135" s="257">
        <f>'FY27'!AN135</f>
        <v>563500</v>
      </c>
      <c r="AB135" s="257">
        <f>'FY28'!AN135</f>
        <v>599250</v>
      </c>
      <c r="AC135" s="257">
        <f>'FY29'!AN135</f>
        <v>612000</v>
      </c>
      <c r="AD135" s="257">
        <f>'FY30'!AN135</f>
        <v>624750</v>
      </c>
      <c r="AF135" s="257">
        <f>'FY26'!AV135</f>
        <v>90000</v>
      </c>
      <c r="AG135" s="257">
        <f>'FY27'!AV135</f>
        <v>97750</v>
      </c>
      <c r="AH135" s="257">
        <f>'FY28'!AV135</f>
        <v>165675</v>
      </c>
      <c r="AI135" s="257">
        <f>'FY29'!AV135</f>
        <v>204000</v>
      </c>
      <c r="AJ135" s="257">
        <f>'FY30'!AV135</f>
        <v>226625</v>
      </c>
      <c r="AL135" s="257">
        <f>'FY26'!BD135</f>
        <v>67500</v>
      </c>
      <c r="AM135" s="257">
        <f>'FY27'!BD135</f>
        <v>67500</v>
      </c>
      <c r="AN135" s="257">
        <f>'FY28'!BD135</f>
        <v>68250</v>
      </c>
      <c r="AO135" s="257">
        <f>'FY29'!BD135</f>
        <v>69000</v>
      </c>
      <c r="AP135" s="257">
        <f>'FY30'!BD135</f>
        <v>69750</v>
      </c>
      <c r="AR135" s="257">
        <f>'FY26'!BL135</f>
        <v>0</v>
      </c>
      <c r="AS135" s="257">
        <f>'FY27'!BL135</f>
        <v>0</v>
      </c>
      <c r="AT135" s="257">
        <f>'FY28'!BL135</f>
        <v>0</v>
      </c>
      <c r="AU135" s="257">
        <f>'FY29'!BL135</f>
        <v>0</v>
      </c>
      <c r="AV135" s="257">
        <f>'FY30'!BL135</f>
        <v>0</v>
      </c>
      <c r="AX135" s="257">
        <f>'FY26'!BT135</f>
        <v>1991250</v>
      </c>
      <c r="AY135" s="257">
        <f>'FY27'!BT135</f>
        <v>2039750</v>
      </c>
      <c r="AZ135" s="257">
        <f>'FY28'!BT135</f>
        <v>2184425</v>
      </c>
      <c r="BA135" s="257">
        <f>'FY29'!BT135</f>
        <v>2265000</v>
      </c>
      <c r="BB135" s="257">
        <f>'FY30'!BT135</f>
        <v>2329875</v>
      </c>
    </row>
    <row r="136" spans="1:54" x14ac:dyDescent="0.25">
      <c r="A136" s="210" t="s">
        <v>253</v>
      </c>
      <c r="B136" s="257">
        <f>'FY26'!H136</f>
        <v>0</v>
      </c>
      <c r="C136" s="257">
        <f>'FY27'!H136</f>
        <v>0</v>
      </c>
      <c r="D136" s="257">
        <f>'FY28'!H136</f>
        <v>0</v>
      </c>
      <c r="E136" s="257">
        <f>'FY29'!H136</f>
        <v>0</v>
      </c>
      <c r="F136" s="257">
        <f>'FY30'!H136</f>
        <v>0</v>
      </c>
      <c r="H136" s="257">
        <f>'FY26'!P136</f>
        <v>450000</v>
      </c>
      <c r="I136" s="257">
        <f>'FY27'!P136</f>
        <v>475000</v>
      </c>
      <c r="J136" s="257">
        <f>'FY28'!P136</f>
        <v>485000</v>
      </c>
      <c r="K136" s="257">
        <f>'FY29'!P136</f>
        <v>500000</v>
      </c>
      <c r="L136" s="257">
        <f>'FY30'!P136</f>
        <v>510000</v>
      </c>
      <c r="N136" s="257">
        <f>'FY26'!X136</f>
        <v>0</v>
      </c>
      <c r="O136" s="257">
        <f>'FY27'!X136</f>
        <v>0</v>
      </c>
      <c r="P136" s="257">
        <f>'FY28'!X136</f>
        <v>0</v>
      </c>
      <c r="Q136" s="257">
        <f>'FY29'!X136</f>
        <v>0</v>
      </c>
      <c r="R136" s="257">
        <f>'FY30'!X136</f>
        <v>0</v>
      </c>
      <c r="T136" s="257">
        <f>'FY26'!AF136</f>
        <v>0</v>
      </c>
      <c r="U136" s="257">
        <f>'FY27'!AF136</f>
        <v>0</v>
      </c>
      <c r="V136" s="257">
        <f>'FY28'!AF136</f>
        <v>0</v>
      </c>
      <c r="W136" s="257">
        <f>'FY29'!AF136</f>
        <v>0</v>
      </c>
      <c r="X136" s="257">
        <f>'FY30'!AF136</f>
        <v>0</v>
      </c>
      <c r="Z136" s="257">
        <f>'FY26'!AN136</f>
        <v>400000</v>
      </c>
      <c r="AA136" s="257">
        <f>'FY27'!AN136</f>
        <v>450000</v>
      </c>
      <c r="AB136" s="257">
        <f>'FY28'!AN136</f>
        <v>475000</v>
      </c>
      <c r="AC136" s="257">
        <f>'FY29'!AN136</f>
        <v>500000</v>
      </c>
      <c r="AD136" s="257">
        <f>'FY30'!AN136</f>
        <v>510000</v>
      </c>
      <c r="AF136" s="257">
        <f>'FY26'!AV136</f>
        <v>0</v>
      </c>
      <c r="AG136" s="257">
        <f>'FY27'!AV136</f>
        <v>0</v>
      </c>
      <c r="AH136" s="257">
        <f>'FY28'!AV136</f>
        <v>0</v>
      </c>
      <c r="AI136" s="257">
        <f>'FY29'!AV136</f>
        <v>0</v>
      </c>
      <c r="AJ136" s="257">
        <f>'FY30'!AV136</f>
        <v>0</v>
      </c>
      <c r="AL136" s="257">
        <f>'FY26'!BD136</f>
        <v>30000</v>
      </c>
      <c r="AM136" s="257">
        <f>'FY27'!BD136</f>
        <v>32000</v>
      </c>
      <c r="AN136" s="257">
        <f>'FY28'!BD136</f>
        <v>35000</v>
      </c>
      <c r="AO136" s="257">
        <f>'FY29'!BD136</f>
        <v>37500</v>
      </c>
      <c r="AP136" s="257">
        <f>'FY30'!BD136</f>
        <v>39000</v>
      </c>
      <c r="AR136" s="257">
        <f>'FY26'!BL136</f>
        <v>0</v>
      </c>
      <c r="AS136" s="257">
        <f>'FY27'!BL136</f>
        <v>0</v>
      </c>
      <c r="AT136" s="257">
        <f>'FY28'!BL136</f>
        <v>0</v>
      </c>
      <c r="AU136" s="257">
        <f>'FY29'!BL136</f>
        <v>0</v>
      </c>
      <c r="AV136" s="257">
        <f>'FY30'!BL136</f>
        <v>0</v>
      </c>
      <c r="AX136" s="257">
        <f>'FY26'!BT136</f>
        <v>880000</v>
      </c>
      <c r="AY136" s="257">
        <f>'FY27'!BT136</f>
        <v>957000</v>
      </c>
      <c r="AZ136" s="257">
        <f>'FY28'!BT136</f>
        <v>995000</v>
      </c>
      <c r="BA136" s="257">
        <f>'FY29'!BT136</f>
        <v>1037500</v>
      </c>
      <c r="BB136" s="257">
        <f>'FY30'!BT136</f>
        <v>1059000</v>
      </c>
    </row>
    <row r="137" spans="1:54" x14ac:dyDescent="0.25">
      <c r="A137" s="211" t="s">
        <v>254</v>
      </c>
      <c r="B137" s="257">
        <f>'FY26'!H137</f>
        <v>26500</v>
      </c>
      <c r="C137" s="257">
        <f>'FY27'!H137</f>
        <v>0</v>
      </c>
      <c r="D137" s="257">
        <f>'FY28'!H137</f>
        <v>0</v>
      </c>
      <c r="E137" s="257">
        <f>'FY29'!H137</f>
        <v>0</v>
      </c>
      <c r="F137" s="257">
        <f>'FY30'!H137</f>
        <v>0</v>
      </c>
      <c r="H137" s="257">
        <f>'FY26'!P137</f>
        <v>210000</v>
      </c>
      <c r="I137" s="257">
        <f>'FY27'!P137</f>
        <v>65000</v>
      </c>
      <c r="J137" s="257">
        <f>'FY28'!P137</f>
        <v>50000</v>
      </c>
      <c r="K137" s="257">
        <f>'FY29'!P137</f>
        <v>33500</v>
      </c>
      <c r="L137" s="257">
        <f>'FY30'!P137</f>
        <v>25000</v>
      </c>
      <c r="N137" s="257">
        <f>'FY26'!X137</f>
        <v>330000</v>
      </c>
      <c r="O137" s="257">
        <f>'FY27'!X137</f>
        <v>0</v>
      </c>
      <c r="P137" s="257">
        <f>'FY28'!X137</f>
        <v>0</v>
      </c>
      <c r="Q137" s="257">
        <f>'FY29'!X137</f>
        <v>0</v>
      </c>
      <c r="R137" s="257">
        <f>'FY30'!X137</f>
        <v>0</v>
      </c>
      <c r="T137" s="257">
        <f>'FY26'!AF137</f>
        <v>450000</v>
      </c>
      <c r="U137" s="257">
        <f>'FY27'!AF137</f>
        <v>0</v>
      </c>
      <c r="V137" s="257">
        <f>'FY28'!AF137</f>
        <v>0</v>
      </c>
      <c r="W137" s="257">
        <f>'FY29'!AF137</f>
        <v>0</v>
      </c>
      <c r="X137" s="257">
        <f>'FY30'!AF137</f>
        <v>0</v>
      </c>
      <c r="Z137" s="257">
        <f>'FY26'!AN137</f>
        <v>250000</v>
      </c>
      <c r="AA137" s="257">
        <f>'FY27'!AN137</f>
        <v>150000</v>
      </c>
      <c r="AB137" s="257">
        <f>'FY28'!AN137</f>
        <v>150000</v>
      </c>
      <c r="AC137" s="257">
        <f>'FY29'!AN137</f>
        <v>65000</v>
      </c>
      <c r="AD137" s="257">
        <f>'FY30'!AN137</f>
        <v>30000</v>
      </c>
      <c r="AF137" s="257">
        <f>'FY26'!AV137</f>
        <v>165500</v>
      </c>
      <c r="AG137" s="257">
        <f>'FY27'!AV137</f>
        <v>0</v>
      </c>
      <c r="AH137" s="257">
        <f>'FY28'!AV137</f>
        <v>0</v>
      </c>
      <c r="AI137" s="257">
        <f>'FY29'!AV137</f>
        <v>0</v>
      </c>
      <c r="AJ137" s="257">
        <f>'FY30'!AV137</f>
        <v>0</v>
      </c>
      <c r="AL137" s="257">
        <f>'FY26'!BD137</f>
        <v>0</v>
      </c>
      <c r="AM137" s="257">
        <f>'FY27'!BD137</f>
        <v>0</v>
      </c>
      <c r="AN137" s="257">
        <f>'FY28'!BD137</f>
        <v>0</v>
      </c>
      <c r="AO137" s="257">
        <f>'FY29'!BD137</f>
        <v>0</v>
      </c>
      <c r="AP137" s="257">
        <f>'FY30'!BD137</f>
        <v>0</v>
      </c>
      <c r="AR137" s="257">
        <f>'FY26'!BL137</f>
        <v>290000</v>
      </c>
      <c r="AS137" s="257">
        <f>'FY27'!BL137</f>
        <v>290000</v>
      </c>
      <c r="AT137" s="257">
        <f>'FY28'!BL137</f>
        <v>290000</v>
      </c>
      <c r="AU137" s="257">
        <f>'FY29'!BL137</f>
        <v>290000</v>
      </c>
      <c r="AV137" s="257">
        <f>'FY30'!BL137</f>
        <v>290000</v>
      </c>
      <c r="AX137" s="257">
        <f>'FY26'!BT137</f>
        <v>1722000</v>
      </c>
      <c r="AY137" s="257">
        <f>'FY27'!BT137</f>
        <v>505000</v>
      </c>
      <c r="AZ137" s="257">
        <f>'FY28'!BT137</f>
        <v>490000</v>
      </c>
      <c r="BA137" s="257">
        <f>'FY29'!BT137</f>
        <v>388500</v>
      </c>
      <c r="BB137" s="257">
        <f>'FY30'!BT137</f>
        <v>345000</v>
      </c>
    </row>
    <row r="138" spans="1:54" x14ac:dyDescent="0.25">
      <c r="A138" s="211" t="s">
        <v>255</v>
      </c>
      <c r="B138" s="257">
        <f>'FY26'!H138</f>
        <v>31850</v>
      </c>
      <c r="C138" s="257">
        <f>'FY27'!H138</f>
        <v>33372</v>
      </c>
      <c r="D138" s="257">
        <f>'FY28'!H138</f>
        <v>34299</v>
      </c>
      <c r="E138" s="257">
        <f>'FY29'!H138</f>
        <v>35226</v>
      </c>
      <c r="F138" s="257">
        <f>'FY30'!H138</f>
        <v>36153</v>
      </c>
      <c r="H138" s="257">
        <f>'FY26'!P138</f>
        <v>87010</v>
      </c>
      <c r="I138" s="257">
        <f>'FY27'!P138</f>
        <v>90504</v>
      </c>
      <c r="J138" s="257">
        <f>'FY28'!P138</f>
        <v>93018</v>
      </c>
      <c r="K138" s="257">
        <f>'FY29'!P138</f>
        <v>95532</v>
      </c>
      <c r="L138" s="257">
        <f>'FY30'!P138</f>
        <v>98046</v>
      </c>
      <c r="N138" s="257">
        <f>'FY26'!X138</f>
        <v>36050</v>
      </c>
      <c r="O138" s="257">
        <f>'FY27'!X138</f>
        <v>37080</v>
      </c>
      <c r="P138" s="257">
        <f>'FY28'!X138</f>
        <v>38110</v>
      </c>
      <c r="Q138" s="257">
        <f>'FY29'!X138</f>
        <v>39140</v>
      </c>
      <c r="R138" s="257">
        <f>'FY30'!X138</f>
        <v>40170</v>
      </c>
      <c r="T138" s="257">
        <f>'FY26'!AF138</f>
        <v>41440</v>
      </c>
      <c r="U138" s="257">
        <f>'FY27'!AF138</f>
        <v>43128</v>
      </c>
      <c r="V138" s="257">
        <f>'FY28'!AF138</f>
        <v>44326</v>
      </c>
      <c r="W138" s="257">
        <f>'FY29'!AF138</f>
        <v>45524</v>
      </c>
      <c r="X138" s="257">
        <f>'FY30'!AF138</f>
        <v>46722</v>
      </c>
      <c r="Z138" s="257">
        <f>'FY26'!AN138</f>
        <v>104560</v>
      </c>
      <c r="AA138" s="257">
        <f>'FY27'!AN138</f>
        <v>109928</v>
      </c>
      <c r="AB138" s="257">
        <f>'FY28'!AN138</f>
        <v>113980</v>
      </c>
      <c r="AC138" s="257">
        <f>'FY29'!AN138</f>
        <v>115304</v>
      </c>
      <c r="AD138" s="257">
        <f>'FY30'!AN138</f>
        <v>117812</v>
      </c>
      <c r="AF138" s="257">
        <f>'FY26'!AV138</f>
        <v>12950</v>
      </c>
      <c r="AG138" s="257">
        <f>'FY27'!AV138</f>
        <v>24080</v>
      </c>
      <c r="AH138" s="257">
        <f>'FY28'!AV138</f>
        <v>29304</v>
      </c>
      <c r="AI138" s="257">
        <f>'FY29'!AV138</f>
        <v>33818</v>
      </c>
      <c r="AJ138" s="257">
        <f>'FY30'!AV138</f>
        <v>34960</v>
      </c>
      <c r="AL138" s="257">
        <f>'FY26'!BD138</f>
        <v>3500</v>
      </c>
      <c r="AM138" s="257">
        <f>'FY27'!BD138</f>
        <v>4732</v>
      </c>
      <c r="AN138" s="257">
        <f>'FY28'!BD138</f>
        <v>4914</v>
      </c>
      <c r="AO138" s="257">
        <f>'FY29'!BD138</f>
        <v>5096</v>
      </c>
      <c r="AP138" s="257">
        <f>'FY30'!BD138</f>
        <v>5278</v>
      </c>
      <c r="AR138" s="257">
        <f>'FY26'!BL138</f>
        <v>0</v>
      </c>
      <c r="AS138" s="257">
        <f>'FY27'!BL138</f>
        <v>0</v>
      </c>
      <c r="AT138" s="257">
        <f>'FY28'!BL138</f>
        <v>0</v>
      </c>
      <c r="AU138" s="257">
        <f>'FY29'!BL138</f>
        <v>0</v>
      </c>
      <c r="AV138" s="257">
        <f>'FY30'!BL138</f>
        <v>0</v>
      </c>
      <c r="AX138" s="257">
        <f>'FY26'!BT138</f>
        <v>317360</v>
      </c>
      <c r="AY138" s="257">
        <f>'FY27'!BT138</f>
        <v>342824</v>
      </c>
      <c r="AZ138" s="257">
        <f>'FY28'!BT138</f>
        <v>357951</v>
      </c>
      <c r="BA138" s="257">
        <f>'FY29'!BT138</f>
        <v>369640</v>
      </c>
      <c r="BB138" s="257">
        <f>'FY30'!BT138</f>
        <v>379141</v>
      </c>
    </row>
    <row r="139" spans="1:54" x14ac:dyDescent="0.25">
      <c r="A139" s="211" t="s">
        <v>256</v>
      </c>
      <c r="B139" s="257">
        <f>'FY26'!H139</f>
        <v>0</v>
      </c>
      <c r="C139" s="257">
        <f>'FY27'!H139</f>
        <v>0</v>
      </c>
      <c r="D139" s="257">
        <f>'FY28'!H139</f>
        <v>0</v>
      </c>
      <c r="E139" s="257">
        <f>'FY29'!H139</f>
        <v>0</v>
      </c>
      <c r="F139" s="257">
        <f>'FY30'!H139</f>
        <v>0</v>
      </c>
      <c r="H139" s="257">
        <f>'FY26'!P139</f>
        <v>0</v>
      </c>
      <c r="I139" s="257">
        <f>'FY27'!P139</f>
        <v>0</v>
      </c>
      <c r="J139" s="257">
        <f>'FY28'!P139</f>
        <v>0</v>
      </c>
      <c r="K139" s="257">
        <f>'FY29'!P139</f>
        <v>0</v>
      </c>
      <c r="L139" s="257">
        <f>'FY30'!P139</f>
        <v>0</v>
      </c>
      <c r="N139" s="257">
        <f>'FY26'!X139</f>
        <v>0</v>
      </c>
      <c r="O139" s="257">
        <f>'FY27'!X139</f>
        <v>0</v>
      </c>
      <c r="P139" s="257">
        <f>'FY28'!X139</f>
        <v>0</v>
      </c>
      <c r="Q139" s="257">
        <f>'FY29'!X139</f>
        <v>0</v>
      </c>
      <c r="R139" s="257">
        <f>'FY30'!X139</f>
        <v>0</v>
      </c>
      <c r="T139" s="257">
        <f>'FY26'!AF139</f>
        <v>0</v>
      </c>
      <c r="U139" s="257">
        <f>'FY27'!AF139</f>
        <v>0</v>
      </c>
      <c r="V139" s="257">
        <f>'FY28'!AF139</f>
        <v>0</v>
      </c>
      <c r="W139" s="257">
        <f>'FY29'!AF139</f>
        <v>0</v>
      </c>
      <c r="X139" s="257">
        <f>'FY30'!AF139</f>
        <v>0</v>
      </c>
      <c r="Z139" s="257">
        <f>'FY26'!AN139</f>
        <v>0</v>
      </c>
      <c r="AA139" s="257">
        <f>'FY27'!AN139</f>
        <v>0</v>
      </c>
      <c r="AB139" s="257">
        <f>'FY28'!AN139</f>
        <v>0</v>
      </c>
      <c r="AC139" s="257">
        <f>'FY29'!AN139</f>
        <v>0</v>
      </c>
      <c r="AD139" s="257">
        <f>'FY30'!AN139</f>
        <v>0</v>
      </c>
      <c r="AF139" s="257">
        <f>'FY26'!AV139</f>
        <v>0</v>
      </c>
      <c r="AG139" s="257">
        <f>'FY27'!AV139</f>
        <v>0</v>
      </c>
      <c r="AH139" s="257">
        <f>'FY28'!AV139</f>
        <v>0</v>
      </c>
      <c r="AI139" s="257">
        <f>'FY29'!AV139</f>
        <v>0</v>
      </c>
      <c r="AJ139" s="257">
        <f>'FY30'!AV139</f>
        <v>0</v>
      </c>
      <c r="AL139" s="257">
        <f>'FY26'!BD139</f>
        <v>0</v>
      </c>
      <c r="AM139" s="257">
        <f>'FY27'!BD139</f>
        <v>0</v>
      </c>
      <c r="AN139" s="257">
        <f>'FY28'!BD139</f>
        <v>0</v>
      </c>
      <c r="AO139" s="257">
        <f>'FY29'!BD139</f>
        <v>0</v>
      </c>
      <c r="AP139" s="257">
        <f>'FY30'!BD139</f>
        <v>0</v>
      </c>
      <c r="AR139" s="257">
        <f>'FY26'!BL139</f>
        <v>0</v>
      </c>
      <c r="AS139" s="257">
        <f>'FY27'!BL139</f>
        <v>0</v>
      </c>
      <c r="AT139" s="257">
        <f>'FY28'!BL139</f>
        <v>0</v>
      </c>
      <c r="AU139" s="257">
        <f>'FY29'!BL139</f>
        <v>0</v>
      </c>
      <c r="AV139" s="257">
        <f>'FY30'!BL139</f>
        <v>0</v>
      </c>
      <c r="AX139" s="257">
        <f>'FY26'!BT139</f>
        <v>0</v>
      </c>
      <c r="AY139" s="257">
        <f>'FY27'!BT139</f>
        <v>0</v>
      </c>
      <c r="AZ139" s="257">
        <f>'FY28'!BT139</f>
        <v>0</v>
      </c>
      <c r="BA139" s="257">
        <f>'FY29'!BT139</f>
        <v>0</v>
      </c>
      <c r="BB139" s="257">
        <f>'FY30'!BT139</f>
        <v>0</v>
      </c>
    </row>
    <row r="140" spans="1:54" x14ac:dyDescent="0.25">
      <c r="A140" s="212" t="s">
        <v>257</v>
      </c>
      <c r="B140" s="257">
        <f>'FY26'!H140</f>
        <v>19600</v>
      </c>
      <c r="C140" s="257">
        <f>'FY27'!H140</f>
        <v>20160</v>
      </c>
      <c r="D140" s="257">
        <f>'FY28'!H140</f>
        <v>20720</v>
      </c>
      <c r="E140" s="257">
        <f>'FY29'!H140</f>
        <v>21280</v>
      </c>
      <c r="F140" s="257">
        <f>'FY30'!H140</f>
        <v>21840</v>
      </c>
      <c r="H140" s="257">
        <f>'FY26'!P140</f>
        <v>49875</v>
      </c>
      <c r="I140" s="257">
        <f>'FY27'!P140</f>
        <v>51300</v>
      </c>
      <c r="J140" s="257">
        <f>'FY28'!P140</f>
        <v>52725</v>
      </c>
      <c r="K140" s="257">
        <f>'FY29'!P140</f>
        <v>54150</v>
      </c>
      <c r="L140" s="257">
        <f>'FY30'!P140</f>
        <v>55575</v>
      </c>
      <c r="N140" s="257">
        <f>'FY26'!X140</f>
        <v>14000</v>
      </c>
      <c r="O140" s="257">
        <f>'FY27'!X140</f>
        <v>14400</v>
      </c>
      <c r="P140" s="257">
        <f>'FY28'!X140</f>
        <v>14800</v>
      </c>
      <c r="Q140" s="257">
        <f>'FY29'!X140</f>
        <v>15200</v>
      </c>
      <c r="R140" s="257">
        <f>'FY30'!X140</f>
        <v>15600</v>
      </c>
      <c r="T140" s="257">
        <f>'FY26'!AF140</f>
        <v>17500</v>
      </c>
      <c r="U140" s="257">
        <f>'FY27'!AF140</f>
        <v>18000</v>
      </c>
      <c r="V140" s="257">
        <f>'FY28'!AF140</f>
        <v>18500</v>
      </c>
      <c r="W140" s="257">
        <f>'FY29'!AF140</f>
        <v>19000</v>
      </c>
      <c r="X140" s="257">
        <f>'FY30'!AF140</f>
        <v>19500</v>
      </c>
      <c r="Z140" s="257">
        <f>'FY26'!AN140</f>
        <v>34475</v>
      </c>
      <c r="AA140" s="257">
        <f>'FY27'!AN140</f>
        <v>36900</v>
      </c>
      <c r="AB140" s="257">
        <f>'FY28'!AN140</f>
        <v>39775</v>
      </c>
      <c r="AC140" s="257">
        <f>'FY29'!AN140</f>
        <v>40850</v>
      </c>
      <c r="AD140" s="257">
        <f>'FY30'!AN140</f>
        <v>41925</v>
      </c>
      <c r="AF140" s="257">
        <f>'FY26'!AV140</f>
        <v>4900</v>
      </c>
      <c r="AG140" s="257">
        <f>'FY27'!AV140</f>
        <v>6125</v>
      </c>
      <c r="AH140" s="257">
        <f>'FY28'!AV140</f>
        <v>15120</v>
      </c>
      <c r="AI140" s="257">
        <f>'FY29'!AV140</f>
        <v>17760</v>
      </c>
      <c r="AJ140" s="257">
        <f>'FY30'!AV140</f>
        <v>20520</v>
      </c>
      <c r="AL140" s="257">
        <f>'FY26'!BD140</f>
        <v>3675</v>
      </c>
      <c r="AM140" s="257">
        <f>'FY27'!BD140</f>
        <v>3780</v>
      </c>
      <c r="AN140" s="257">
        <f>'FY28'!BD140</f>
        <v>3885</v>
      </c>
      <c r="AO140" s="257">
        <f>'FY29'!BD140</f>
        <v>3990</v>
      </c>
      <c r="AP140" s="257">
        <f>'FY30'!BD140</f>
        <v>4095</v>
      </c>
      <c r="AR140" s="257">
        <f>'FY26'!BL140</f>
        <v>0</v>
      </c>
      <c r="AS140" s="257">
        <f>'FY27'!BL140</f>
        <v>0</v>
      </c>
      <c r="AT140" s="257">
        <f>'FY28'!BL140</f>
        <v>0</v>
      </c>
      <c r="AU140" s="257">
        <f>'FY29'!BL140</f>
        <v>0</v>
      </c>
      <c r="AV140" s="257">
        <f>'FY30'!BL140</f>
        <v>0</v>
      </c>
      <c r="AX140" s="257">
        <f>'FY26'!BT140</f>
        <v>144025</v>
      </c>
      <c r="AY140" s="257">
        <f>'FY27'!BT140</f>
        <v>150665</v>
      </c>
      <c r="AZ140" s="257">
        <f>'FY28'!BT140</f>
        <v>165525</v>
      </c>
      <c r="BA140" s="257">
        <f>'FY29'!BT140</f>
        <v>172230</v>
      </c>
      <c r="BB140" s="257">
        <f>'FY30'!BT140</f>
        <v>179055</v>
      </c>
    </row>
    <row r="141" spans="1:54" x14ac:dyDescent="0.25">
      <c r="A141" s="213"/>
      <c r="B141" s="258">
        <f>'FY26'!H141</f>
        <v>291700</v>
      </c>
      <c r="C141" s="258">
        <f>'FY27'!H141</f>
        <v>272032</v>
      </c>
      <c r="D141" s="258">
        <f>'FY28'!H141</f>
        <v>278269</v>
      </c>
      <c r="E141" s="258">
        <f>'FY29'!H141</f>
        <v>284506</v>
      </c>
      <c r="F141" s="258">
        <f>'FY30'!H141</f>
        <v>290743</v>
      </c>
      <c r="H141" s="258">
        <f>'FY26'!P141</f>
        <v>1359385</v>
      </c>
      <c r="I141" s="258">
        <f>'FY27'!P141</f>
        <v>1256804</v>
      </c>
      <c r="J141" s="258">
        <f>'FY28'!P141</f>
        <v>1279993</v>
      </c>
      <c r="K141" s="258">
        <f>'FY29'!P141</f>
        <v>1295182</v>
      </c>
      <c r="L141" s="258">
        <f>'FY30'!P141</f>
        <v>1313371</v>
      </c>
      <c r="N141" s="258">
        <f>'FY26'!X141</f>
        <v>616300</v>
      </c>
      <c r="O141" s="258">
        <f>'FY27'!X141</f>
        <v>292980</v>
      </c>
      <c r="P141" s="258">
        <f>'FY28'!X141</f>
        <v>299660</v>
      </c>
      <c r="Q141" s="258">
        <f>'FY29'!X141</f>
        <v>306340</v>
      </c>
      <c r="R141" s="258">
        <f>'FY30'!X141</f>
        <v>313020</v>
      </c>
      <c r="T141" s="258">
        <f>'FY26'!AF141</f>
        <v>778940</v>
      </c>
      <c r="U141" s="258">
        <f>'FY27'!AF141</f>
        <v>337128</v>
      </c>
      <c r="V141" s="258">
        <f>'FY28'!AF141</f>
        <v>344826</v>
      </c>
      <c r="W141" s="258">
        <f>'FY29'!AF141</f>
        <v>352524</v>
      </c>
      <c r="X141" s="258">
        <f>'FY30'!AF141</f>
        <v>360222</v>
      </c>
      <c r="Z141" s="258">
        <f>'FY26'!AN141</f>
        <v>1340285</v>
      </c>
      <c r="AA141" s="258">
        <f>'FY27'!AN141</f>
        <v>1310328</v>
      </c>
      <c r="AB141" s="258">
        <f>'FY28'!AN141</f>
        <v>1378005</v>
      </c>
      <c r="AC141" s="258">
        <f>'FY29'!AN141</f>
        <v>1333154</v>
      </c>
      <c r="AD141" s="258">
        <f>'FY30'!AN141</f>
        <v>1324487</v>
      </c>
      <c r="AF141" s="258">
        <f>'FY26'!AV141</f>
        <v>273350</v>
      </c>
      <c r="AG141" s="258">
        <f>'FY27'!AV141</f>
        <v>127955</v>
      </c>
      <c r="AH141" s="258">
        <f>'FY28'!AV141</f>
        <v>210099</v>
      </c>
      <c r="AI141" s="258">
        <f>'FY29'!AV141</f>
        <v>255578</v>
      </c>
      <c r="AJ141" s="258">
        <f>'FY30'!AV141</f>
        <v>282105</v>
      </c>
      <c r="AL141" s="258">
        <f>'FY26'!BD141</f>
        <v>104675</v>
      </c>
      <c r="AM141" s="258">
        <f>'FY27'!BD141</f>
        <v>108012</v>
      </c>
      <c r="AN141" s="258">
        <f>'FY28'!BD141</f>
        <v>112049</v>
      </c>
      <c r="AO141" s="258">
        <f>'FY29'!BD141</f>
        <v>115586</v>
      </c>
      <c r="AP141" s="258">
        <f>'FY30'!BD141</f>
        <v>118123</v>
      </c>
      <c r="AR141" s="258">
        <f>'FY26'!BL141</f>
        <v>290000</v>
      </c>
      <c r="AS141" s="258">
        <f>'FY27'!BL141</f>
        <v>290000</v>
      </c>
      <c r="AT141" s="258">
        <f>'FY28'!BL141</f>
        <v>290000</v>
      </c>
      <c r="AU141" s="258">
        <f>'FY29'!BL141</f>
        <v>290000</v>
      </c>
      <c r="AV141" s="258">
        <f>'FY30'!BL141</f>
        <v>290000</v>
      </c>
      <c r="AX141" s="258">
        <f>'FY26'!BT141</f>
        <v>5054635</v>
      </c>
      <c r="AY141" s="258">
        <f>'FY27'!BT141</f>
        <v>3995239</v>
      </c>
      <c r="AZ141" s="258">
        <f>'FY28'!BT141</f>
        <v>4192901</v>
      </c>
      <c r="BA141" s="258">
        <f>'FY29'!BT141</f>
        <v>4232870</v>
      </c>
      <c r="BB141" s="258">
        <f>'FY30'!BT141</f>
        <v>4292071</v>
      </c>
    </row>
    <row r="142" spans="1:54" x14ac:dyDescent="0.25">
      <c r="B142" s="259">
        <f>'FY26'!H142</f>
        <v>0</v>
      </c>
      <c r="C142" s="259">
        <f>'FY27'!H142</f>
        <v>0</v>
      </c>
      <c r="D142" s="259">
        <f>'FY28'!H142</f>
        <v>0</v>
      </c>
      <c r="E142" s="259">
        <f>'FY29'!H142</f>
        <v>0</v>
      </c>
      <c r="F142" s="259">
        <f>'FY30'!H142</f>
        <v>0</v>
      </c>
      <c r="H142" s="259">
        <f>'FY26'!P142</f>
        <v>0</v>
      </c>
      <c r="I142" s="259">
        <f>'FY27'!P142</f>
        <v>0</v>
      </c>
      <c r="J142" s="259">
        <f>'FY28'!P142</f>
        <v>0</v>
      </c>
      <c r="K142" s="259">
        <f>'FY29'!P142</f>
        <v>0</v>
      </c>
      <c r="L142" s="259">
        <f>'FY30'!P142</f>
        <v>0</v>
      </c>
      <c r="N142" s="259">
        <f>'FY26'!X142</f>
        <v>0</v>
      </c>
      <c r="O142" s="259">
        <f>'FY27'!X142</f>
        <v>0</v>
      </c>
      <c r="P142" s="259">
        <f>'FY28'!X142</f>
        <v>0</v>
      </c>
      <c r="Q142" s="259">
        <f>'FY29'!X142</f>
        <v>0</v>
      </c>
      <c r="R142" s="259">
        <f>'FY30'!X142</f>
        <v>0</v>
      </c>
      <c r="T142" s="259">
        <f>'FY26'!AF142</f>
        <v>0</v>
      </c>
      <c r="U142" s="259">
        <f>'FY27'!AF142</f>
        <v>0</v>
      </c>
      <c r="V142" s="259">
        <f>'FY28'!AF142</f>
        <v>0</v>
      </c>
      <c r="W142" s="259">
        <f>'FY29'!AF142</f>
        <v>0</v>
      </c>
      <c r="X142" s="259">
        <f>'FY30'!AF142</f>
        <v>0</v>
      </c>
      <c r="Z142" s="259">
        <f>'FY26'!AN142</f>
        <v>0</v>
      </c>
      <c r="AA142" s="259">
        <f>'FY27'!AN142</f>
        <v>0</v>
      </c>
      <c r="AB142" s="259">
        <f>'FY28'!AN142</f>
        <v>0</v>
      </c>
      <c r="AC142" s="259">
        <f>'FY29'!AN142</f>
        <v>0</v>
      </c>
      <c r="AD142" s="259">
        <f>'FY30'!AN142</f>
        <v>0</v>
      </c>
      <c r="AF142" s="259">
        <f>'FY26'!AV142</f>
        <v>0</v>
      </c>
      <c r="AG142" s="259">
        <f>'FY27'!AV142</f>
        <v>0</v>
      </c>
      <c r="AH142" s="259">
        <f>'FY28'!AV142</f>
        <v>0</v>
      </c>
      <c r="AI142" s="259">
        <f>'FY29'!AV142</f>
        <v>0</v>
      </c>
      <c r="AJ142" s="259">
        <f>'FY30'!AV142</f>
        <v>0</v>
      </c>
      <c r="AL142" s="259">
        <f>'FY26'!BD142</f>
        <v>0</v>
      </c>
      <c r="AM142" s="259">
        <f>'FY27'!BD142</f>
        <v>0</v>
      </c>
      <c r="AN142" s="259">
        <f>'FY28'!BD142</f>
        <v>0</v>
      </c>
      <c r="AO142" s="259">
        <f>'FY29'!BD142</f>
        <v>0</v>
      </c>
      <c r="AP142" s="259">
        <f>'FY30'!BD142</f>
        <v>0</v>
      </c>
      <c r="AR142" s="259">
        <f>'FY26'!BL142</f>
        <v>0</v>
      </c>
      <c r="AS142" s="259">
        <f>'FY27'!BL142</f>
        <v>0</v>
      </c>
      <c r="AT142" s="259">
        <f>'FY28'!BL142</f>
        <v>0</v>
      </c>
      <c r="AU142" s="259">
        <f>'FY29'!BL142</f>
        <v>0</v>
      </c>
      <c r="AV142" s="259">
        <f>'FY30'!BL142</f>
        <v>0</v>
      </c>
      <c r="AX142" s="259">
        <f>'FY26'!BT142</f>
        <v>0</v>
      </c>
      <c r="AY142" s="259">
        <f>'FY27'!BT142</f>
        <v>0</v>
      </c>
      <c r="AZ142" s="259">
        <f>'FY28'!BT142</f>
        <v>0</v>
      </c>
      <c r="BA142" s="259">
        <f>'FY29'!BT142</f>
        <v>0</v>
      </c>
      <c r="BB142" s="259">
        <f>'FY30'!BT142</f>
        <v>0</v>
      </c>
    </row>
    <row r="143" spans="1:54" x14ac:dyDescent="0.25">
      <c r="A143" s="208" t="s">
        <v>333</v>
      </c>
      <c r="B143" s="260" t="str">
        <f>'FY26'!H143</f>
        <v>Total (25-26)</v>
      </c>
      <c r="C143" s="260" t="str">
        <f>'FY27'!H143</f>
        <v>Horizon</v>
      </c>
      <c r="D143" s="260" t="str">
        <f>'FY28'!H143</f>
        <v>Horizon</v>
      </c>
      <c r="E143" s="260" t="str">
        <f>'FY29'!H143</f>
        <v>Horizon</v>
      </c>
      <c r="F143" s="260" t="str">
        <f>'FY30'!H143</f>
        <v>Horizon</v>
      </c>
      <c r="H143" s="260" t="str">
        <f>'FY26'!P143</f>
        <v>Cadence</v>
      </c>
      <c r="I143" s="260" t="str">
        <f>'FY27'!P143</f>
        <v>Cadence</v>
      </c>
      <c r="J143" s="260" t="str">
        <f>'FY28'!P143</f>
        <v>Cadence</v>
      </c>
      <c r="K143" s="260" t="str">
        <f>'FY29'!P143</f>
        <v>Cadence</v>
      </c>
      <c r="L143" s="260" t="str">
        <f>'FY30'!P143</f>
        <v>Cadence</v>
      </c>
      <c r="N143" s="260" t="str">
        <f>'FY26'!X143</f>
        <v>St. Rose</v>
      </c>
      <c r="O143" s="260" t="str">
        <f>'FY27'!X143</f>
        <v>St. Rose</v>
      </c>
      <c r="P143" s="260" t="str">
        <f>'FY28'!X143</f>
        <v>St. Rose</v>
      </c>
      <c r="Q143" s="260" t="str">
        <f>'FY29'!X143</f>
        <v>St. Rose</v>
      </c>
      <c r="R143" s="260" t="str">
        <f>'FY30'!X143</f>
        <v>St. Rose</v>
      </c>
      <c r="T143" s="260" t="str">
        <f>'FY26'!AF143</f>
        <v>Inspirada</v>
      </c>
      <c r="U143" s="260" t="str">
        <f>'FY27'!AF143</f>
        <v>Inspirada</v>
      </c>
      <c r="V143" s="260" t="str">
        <f>'FY28'!AF143</f>
        <v>Inspirada</v>
      </c>
      <c r="W143" s="260" t="str">
        <f>'FY29'!AF143</f>
        <v>Inspirada</v>
      </c>
      <c r="X143" s="260" t="str">
        <f>'FY30'!AF143</f>
        <v>Inspirada</v>
      </c>
      <c r="Z143" s="260" t="str">
        <f>'FY26'!AN143</f>
        <v>Sloan</v>
      </c>
      <c r="AA143" s="260" t="str">
        <f>'FY27'!AN143</f>
        <v>Sloan</v>
      </c>
      <c r="AB143" s="260" t="str">
        <f>'FY28'!AN143</f>
        <v>Sloan</v>
      </c>
      <c r="AC143" s="260" t="str">
        <f>'FY29'!AN143</f>
        <v>Sloan</v>
      </c>
      <c r="AD143" s="260" t="str">
        <f>'FY30'!AN143</f>
        <v>Sloan</v>
      </c>
      <c r="AF143" s="260" t="str">
        <f>'FY26'!AV143</f>
        <v>Springs</v>
      </c>
      <c r="AG143" s="260" t="str">
        <f>'FY27'!AV143</f>
        <v>Springs</v>
      </c>
      <c r="AH143" s="260" t="str">
        <f>'FY28'!AV143</f>
        <v>Springs</v>
      </c>
      <c r="AI143" s="260" t="str">
        <f>'FY29'!AV143</f>
        <v>Springs</v>
      </c>
      <c r="AJ143" s="260" t="str">
        <f>'FY30'!AV143</f>
        <v>Springs</v>
      </c>
      <c r="AL143" s="260" t="str">
        <f>'FY26'!BD143</f>
        <v>Virtual</v>
      </c>
      <c r="AM143" s="260" t="str">
        <f>'FY27'!BD143</f>
        <v>Virtual</v>
      </c>
      <c r="AN143" s="260" t="str">
        <f>'FY28'!BD143</f>
        <v>Virtual</v>
      </c>
      <c r="AO143" s="260" t="str">
        <f>'FY29'!BD143</f>
        <v>Virtual</v>
      </c>
      <c r="AP143" s="260" t="str">
        <f>'FY30'!BD143</f>
        <v>Virtual</v>
      </c>
      <c r="AR143" s="260" t="str">
        <f>'FY26'!BL143</f>
        <v>Central</v>
      </c>
      <c r="AS143" s="260" t="str">
        <f>'FY27'!BL143</f>
        <v>Central</v>
      </c>
      <c r="AT143" s="260" t="str">
        <f>'FY28'!BL143</f>
        <v>Central</v>
      </c>
      <c r="AU143" s="260" t="str">
        <f>'FY29'!BL143</f>
        <v>Central</v>
      </c>
      <c r="AV143" s="260" t="str">
        <f>'FY30'!BL143</f>
        <v>Central</v>
      </c>
      <c r="AX143" s="260" t="str">
        <f>'FY26'!BT143</f>
        <v>System</v>
      </c>
      <c r="AY143" s="260" t="str">
        <f>'FY27'!BT143</f>
        <v>System</v>
      </c>
      <c r="AZ143" s="260" t="str">
        <f>'FY28'!BT143</f>
        <v>System</v>
      </c>
      <c r="BA143" s="260" t="str">
        <f>'FY29'!BT143</f>
        <v>System</v>
      </c>
      <c r="BB143" s="260" t="str">
        <f>'FY30'!BT143</f>
        <v>System</v>
      </c>
    </row>
    <row r="144" spans="1:54" x14ac:dyDescent="0.25">
      <c r="A144" s="214" t="s">
        <v>258</v>
      </c>
      <c r="B144" s="241">
        <f>'FY26'!H144</f>
        <v>27300</v>
      </c>
      <c r="C144" s="241">
        <f>'FY27'!H144</f>
        <v>28737</v>
      </c>
      <c r="D144" s="241">
        <f>'FY28'!H144</f>
        <v>29664</v>
      </c>
      <c r="E144" s="241">
        <f>'FY29'!H144</f>
        <v>30591</v>
      </c>
      <c r="F144" s="241">
        <f>'FY30'!H144</f>
        <v>31518</v>
      </c>
      <c r="H144" s="241">
        <f>'FY26'!P144</f>
        <v>74580</v>
      </c>
      <c r="I144" s="241">
        <f>'FY27'!P144</f>
        <v>77934</v>
      </c>
      <c r="J144" s="241">
        <f>'FY28'!P144</f>
        <v>80448</v>
      </c>
      <c r="K144" s="241">
        <f>'FY29'!P144</f>
        <v>82962</v>
      </c>
      <c r="L144" s="241">
        <f>'FY30'!P144</f>
        <v>85476</v>
      </c>
      <c r="N144" s="241">
        <f>'FY26'!X144</f>
        <v>30900</v>
      </c>
      <c r="O144" s="241">
        <f>'FY27'!X144</f>
        <v>31930</v>
      </c>
      <c r="P144" s="241">
        <f>'FY28'!X144</f>
        <v>32960</v>
      </c>
      <c r="Q144" s="241">
        <f>'FY29'!X144</f>
        <v>33990</v>
      </c>
      <c r="R144" s="241">
        <f>'FY30'!X144</f>
        <v>35020</v>
      </c>
      <c r="T144" s="241">
        <f>'FY26'!AF144</f>
        <v>35520</v>
      </c>
      <c r="U144" s="241">
        <f>'FY27'!AF144</f>
        <v>37138</v>
      </c>
      <c r="V144" s="241">
        <f>'FY28'!AF144</f>
        <v>38336</v>
      </c>
      <c r="W144" s="241">
        <f>'FY29'!AF144</f>
        <v>39534</v>
      </c>
      <c r="X144" s="241">
        <f>'FY30'!AF144</f>
        <v>40732</v>
      </c>
      <c r="Z144" s="241">
        <f>'FY26'!AN144</f>
        <v>72480</v>
      </c>
      <c r="AA144" s="241">
        <f>'FY27'!AN144</f>
        <v>77438</v>
      </c>
      <c r="AB144" s="241">
        <f>'FY28'!AN144</f>
        <v>81280</v>
      </c>
      <c r="AC144" s="241">
        <f>'FY29'!AN144</f>
        <v>82764</v>
      </c>
      <c r="AD144" s="241">
        <f>'FY30'!AN144</f>
        <v>85272</v>
      </c>
      <c r="AF144" s="241">
        <f>'FY26'!AV144</f>
        <v>11100</v>
      </c>
      <c r="AG144" s="241">
        <f>'FY27'!AV144</f>
        <v>20640</v>
      </c>
      <c r="AH144" s="241">
        <f>'FY28'!AV144</f>
        <v>25234</v>
      </c>
      <c r="AI144" s="241">
        <f>'FY29'!AV144</f>
        <v>29248</v>
      </c>
      <c r="AJ144" s="241">
        <f>'FY30'!AV144</f>
        <v>30360</v>
      </c>
      <c r="AL144" s="241">
        <f>'FY26'!BD144</f>
        <v>2800</v>
      </c>
      <c r="AM144" s="241">
        <f>'FY27'!BD144</f>
        <v>3822</v>
      </c>
      <c r="AN144" s="241">
        <f>'FY28'!BD144</f>
        <v>4004</v>
      </c>
      <c r="AO144" s="241">
        <f>'FY29'!BD144</f>
        <v>4186</v>
      </c>
      <c r="AP144" s="241">
        <f>'FY30'!BD144</f>
        <v>4368</v>
      </c>
      <c r="AR144" s="241">
        <f>'FY26'!BL144</f>
        <v>0</v>
      </c>
      <c r="AS144" s="241">
        <f>'FY27'!BL144</f>
        <v>0</v>
      </c>
      <c r="AT144" s="241">
        <f>'FY28'!BL144</f>
        <v>0</v>
      </c>
      <c r="AU144" s="241">
        <f>'FY29'!BL144</f>
        <v>0</v>
      </c>
      <c r="AV144" s="241">
        <f>'FY30'!BL144</f>
        <v>0</v>
      </c>
      <c r="AX144" s="241">
        <f>'FY26'!BT144</f>
        <v>254680</v>
      </c>
      <c r="AY144" s="241">
        <f>'FY27'!BT144</f>
        <v>277639</v>
      </c>
      <c r="AZ144" s="241">
        <f>'FY28'!BT144</f>
        <v>291926</v>
      </c>
      <c r="BA144" s="241">
        <f>'FY29'!BT144</f>
        <v>303275</v>
      </c>
      <c r="BB144" s="241">
        <f>'FY30'!BT144</f>
        <v>312746</v>
      </c>
    </row>
    <row r="145" spans="1:54" x14ac:dyDescent="0.25">
      <c r="A145" s="211" t="s">
        <v>256</v>
      </c>
      <c r="B145" s="241">
        <f>'FY26'!H145</f>
        <v>22750</v>
      </c>
      <c r="C145" s="241">
        <f>'FY27'!H145</f>
        <v>24102</v>
      </c>
      <c r="D145" s="241">
        <f>'FY28'!H145</f>
        <v>25029</v>
      </c>
      <c r="E145" s="241">
        <f>'FY29'!H145</f>
        <v>25956</v>
      </c>
      <c r="F145" s="241">
        <f>'FY30'!H145</f>
        <v>26883</v>
      </c>
      <c r="H145" s="241">
        <f>'FY26'!P145</f>
        <v>62150</v>
      </c>
      <c r="I145" s="241">
        <f>'FY27'!P145</f>
        <v>65364</v>
      </c>
      <c r="J145" s="241">
        <f>'FY28'!P145</f>
        <v>67878</v>
      </c>
      <c r="K145" s="241">
        <f>'FY29'!P145</f>
        <v>70392</v>
      </c>
      <c r="L145" s="241">
        <f>'FY30'!P145</f>
        <v>72906</v>
      </c>
      <c r="N145" s="241">
        <f>'FY26'!X145</f>
        <v>25750</v>
      </c>
      <c r="O145" s="241">
        <f>'FY27'!X145</f>
        <v>26780</v>
      </c>
      <c r="P145" s="241">
        <f>'FY28'!X145</f>
        <v>27810</v>
      </c>
      <c r="Q145" s="241">
        <f>'FY29'!X145</f>
        <v>28840</v>
      </c>
      <c r="R145" s="241">
        <f>'FY30'!X145</f>
        <v>29870</v>
      </c>
      <c r="T145" s="241">
        <f>'FY26'!AF145</f>
        <v>29600</v>
      </c>
      <c r="U145" s="241">
        <f>'FY27'!AF145</f>
        <v>31148</v>
      </c>
      <c r="V145" s="241">
        <f>'FY28'!AF145</f>
        <v>32346</v>
      </c>
      <c r="W145" s="241">
        <f>'FY29'!AF145</f>
        <v>33544</v>
      </c>
      <c r="X145" s="241">
        <f>'FY30'!AF145</f>
        <v>34742</v>
      </c>
      <c r="Z145" s="241">
        <f>'FY26'!AN145</f>
        <v>60400</v>
      </c>
      <c r="AA145" s="241">
        <f>'FY27'!AN145</f>
        <v>64948</v>
      </c>
      <c r="AB145" s="241">
        <f>'FY28'!AN145</f>
        <v>68580</v>
      </c>
      <c r="AC145" s="241">
        <f>'FY29'!AN145</f>
        <v>70224</v>
      </c>
      <c r="AD145" s="241">
        <f>'FY30'!AN145</f>
        <v>72732</v>
      </c>
      <c r="AF145" s="241">
        <f>'FY26'!AV145</f>
        <v>9250</v>
      </c>
      <c r="AG145" s="241">
        <f>'FY27'!AV145</f>
        <v>17200</v>
      </c>
      <c r="AH145" s="241">
        <f>'FY28'!AV145</f>
        <v>21164</v>
      </c>
      <c r="AI145" s="241">
        <f>'FY29'!AV145</f>
        <v>24678</v>
      </c>
      <c r="AJ145" s="241">
        <f>'FY30'!AV145</f>
        <v>25760</v>
      </c>
      <c r="AL145" s="241">
        <f>'FY26'!BD145</f>
        <v>3500</v>
      </c>
      <c r="AM145" s="241">
        <f>'FY27'!BD145</f>
        <v>4732</v>
      </c>
      <c r="AN145" s="241">
        <f>'FY28'!BD145</f>
        <v>4914</v>
      </c>
      <c r="AO145" s="241">
        <f>'FY29'!BD145</f>
        <v>5096</v>
      </c>
      <c r="AP145" s="241">
        <f>'FY30'!BD145</f>
        <v>5278</v>
      </c>
      <c r="AR145" s="241">
        <f>'FY26'!BL145</f>
        <v>0</v>
      </c>
      <c r="AS145" s="241">
        <f>'FY27'!BL145</f>
        <v>0</v>
      </c>
      <c r="AT145" s="241">
        <f>'FY28'!BL145</f>
        <v>0</v>
      </c>
      <c r="AU145" s="241">
        <f>'FY29'!BL145</f>
        <v>0</v>
      </c>
      <c r="AV145" s="241">
        <f>'FY30'!BL145</f>
        <v>0</v>
      </c>
      <c r="AX145" s="241">
        <f>'FY26'!BT145</f>
        <v>213400</v>
      </c>
      <c r="AY145" s="241">
        <f>'FY27'!BT145</f>
        <v>234274</v>
      </c>
      <c r="AZ145" s="241">
        <f>'FY28'!BT145</f>
        <v>247721</v>
      </c>
      <c r="BA145" s="241">
        <f>'FY29'!BT145</f>
        <v>258730</v>
      </c>
      <c r="BB145" s="241">
        <f>'FY30'!BT145</f>
        <v>268171</v>
      </c>
    </row>
    <row r="146" spans="1:54" x14ac:dyDescent="0.25">
      <c r="A146" s="211" t="s">
        <v>259</v>
      </c>
      <c r="B146" s="241">
        <f>'FY26'!H146</f>
        <v>7280</v>
      </c>
      <c r="C146" s="241">
        <f>'FY27'!H146</f>
        <v>7647.75</v>
      </c>
      <c r="D146" s="241">
        <f>'FY28'!H146</f>
        <v>7879.5</v>
      </c>
      <c r="E146" s="241">
        <f>'FY29'!H146</f>
        <v>8111.25</v>
      </c>
      <c r="F146" s="241">
        <f>'FY30'!H146</f>
        <v>8343</v>
      </c>
      <c r="H146" s="241">
        <f>'FY26'!P146</f>
        <v>19888</v>
      </c>
      <c r="I146" s="241">
        <f>'FY27'!P146</f>
        <v>20740.5</v>
      </c>
      <c r="J146" s="241">
        <f>'FY28'!P146</f>
        <v>21369</v>
      </c>
      <c r="K146" s="241">
        <f>'FY29'!P146</f>
        <v>21997.5</v>
      </c>
      <c r="L146" s="241">
        <f>'FY30'!P146</f>
        <v>22626</v>
      </c>
      <c r="N146" s="241">
        <f>'FY26'!X146</f>
        <v>8240</v>
      </c>
      <c r="O146" s="241">
        <f>'FY27'!X146</f>
        <v>8497.5</v>
      </c>
      <c r="P146" s="241">
        <f>'FY28'!X146</f>
        <v>8755</v>
      </c>
      <c r="Q146" s="241">
        <f>'FY29'!X146</f>
        <v>9012.5</v>
      </c>
      <c r="R146" s="241">
        <f>'FY30'!X146</f>
        <v>9270</v>
      </c>
      <c r="T146" s="241">
        <f>'FY26'!AF146</f>
        <v>9472</v>
      </c>
      <c r="U146" s="241">
        <f>'FY27'!AF146</f>
        <v>9883.5</v>
      </c>
      <c r="V146" s="241">
        <f>'FY28'!AF146</f>
        <v>10183</v>
      </c>
      <c r="W146" s="241">
        <f>'FY29'!AF146</f>
        <v>10482.5</v>
      </c>
      <c r="X146" s="241">
        <f>'FY30'!AF146</f>
        <v>10782</v>
      </c>
      <c r="Z146" s="241">
        <f>'FY26'!AN146</f>
        <v>19328</v>
      </c>
      <c r="AA146" s="241">
        <f>'FY27'!AN146</f>
        <v>20608.5</v>
      </c>
      <c r="AB146" s="241">
        <f>'FY28'!AN146</f>
        <v>21590</v>
      </c>
      <c r="AC146" s="241">
        <f>'FY29'!AN146</f>
        <v>21945</v>
      </c>
      <c r="AD146" s="241">
        <f>'FY30'!AN146</f>
        <v>22572</v>
      </c>
      <c r="AF146" s="241">
        <f>'FY26'!AV146</f>
        <v>2960</v>
      </c>
      <c r="AG146" s="241">
        <f>'FY27'!AV146</f>
        <v>5504</v>
      </c>
      <c r="AH146" s="241">
        <f>'FY28'!AV146</f>
        <v>6919</v>
      </c>
      <c r="AI146" s="241">
        <f>'FY29'!AV146</f>
        <v>7997.5</v>
      </c>
      <c r="AJ146" s="241">
        <f>'FY30'!AV146</f>
        <v>8280</v>
      </c>
      <c r="AL146" s="241">
        <f>'FY26'!BD146</f>
        <v>0</v>
      </c>
      <c r="AM146" s="241">
        <f>'FY27'!BD146</f>
        <v>0</v>
      </c>
      <c r="AN146" s="241">
        <f>'FY28'!BD146</f>
        <v>0</v>
      </c>
      <c r="AO146" s="241">
        <f>'FY29'!BD146</f>
        <v>0</v>
      </c>
      <c r="AP146" s="241">
        <f>'FY30'!BD146</f>
        <v>0</v>
      </c>
      <c r="AR146" s="241">
        <f>'FY26'!BL146</f>
        <v>0</v>
      </c>
      <c r="AS146" s="241">
        <f>'FY27'!BL146</f>
        <v>0</v>
      </c>
      <c r="AT146" s="241">
        <f>'FY28'!BL146</f>
        <v>0</v>
      </c>
      <c r="AU146" s="241">
        <f>'FY29'!BL146</f>
        <v>0</v>
      </c>
      <c r="AV146" s="241">
        <f>'FY30'!BL146</f>
        <v>0</v>
      </c>
      <c r="AX146" s="241">
        <f>'FY26'!BT146</f>
        <v>67168</v>
      </c>
      <c r="AY146" s="241">
        <f>'FY27'!BT146</f>
        <v>72881.75</v>
      </c>
      <c r="AZ146" s="241">
        <f>'FY28'!BT146</f>
        <v>76695.5</v>
      </c>
      <c r="BA146" s="241">
        <f>'FY29'!BT146</f>
        <v>79546.25</v>
      </c>
      <c r="BB146" s="241">
        <f>'FY30'!BT146</f>
        <v>81873</v>
      </c>
    </row>
    <row r="147" spans="1:54" x14ac:dyDescent="0.25">
      <c r="A147" s="211" t="s">
        <v>260</v>
      </c>
      <c r="B147" s="241">
        <f>'FY26'!H147</f>
        <v>0</v>
      </c>
      <c r="C147" s="241">
        <f>'FY27'!H147</f>
        <v>0</v>
      </c>
      <c r="D147" s="241">
        <f>'FY28'!H147</f>
        <v>0</v>
      </c>
      <c r="E147" s="241">
        <f>'FY29'!H147</f>
        <v>0</v>
      </c>
      <c r="F147" s="241">
        <f>'FY30'!H147</f>
        <v>0</v>
      </c>
      <c r="H147" s="241">
        <f>'FY26'!P147</f>
        <v>125000</v>
      </c>
      <c r="I147" s="241">
        <f>'FY27'!P147</f>
        <v>135000</v>
      </c>
      <c r="J147" s="241">
        <f>'FY28'!P147</f>
        <v>140000</v>
      </c>
      <c r="K147" s="241">
        <f>'FY29'!P147</f>
        <v>150000</v>
      </c>
      <c r="L147" s="241">
        <f>'FY30'!P147</f>
        <v>160000</v>
      </c>
      <c r="N147" s="241">
        <f>'FY26'!X147</f>
        <v>0</v>
      </c>
      <c r="O147" s="241">
        <f>'FY27'!X147</f>
        <v>0</v>
      </c>
      <c r="P147" s="241">
        <f>'FY28'!X147</f>
        <v>0</v>
      </c>
      <c r="Q147" s="241">
        <f>'FY29'!X147</f>
        <v>0</v>
      </c>
      <c r="R147" s="241">
        <f>'FY30'!X147</f>
        <v>0</v>
      </c>
      <c r="T147" s="241">
        <f>'FY26'!AF147</f>
        <v>0</v>
      </c>
      <c r="U147" s="241">
        <f>'FY27'!AF147</f>
        <v>0</v>
      </c>
      <c r="V147" s="241">
        <f>'FY28'!AF147</f>
        <v>0</v>
      </c>
      <c r="W147" s="241">
        <f>'FY29'!AF147</f>
        <v>0</v>
      </c>
      <c r="X147" s="241">
        <f>'FY30'!AF147</f>
        <v>0</v>
      </c>
      <c r="Z147" s="241">
        <f>'FY26'!AN147</f>
        <v>150000</v>
      </c>
      <c r="AA147" s="241">
        <f>'FY27'!AN147</f>
        <v>155000</v>
      </c>
      <c r="AB147" s="241">
        <f>'FY28'!AN147</f>
        <v>160000</v>
      </c>
      <c r="AC147" s="241">
        <f>'FY29'!AN147</f>
        <v>170000</v>
      </c>
      <c r="AD147" s="241">
        <f>'FY30'!AN147</f>
        <v>180000</v>
      </c>
      <c r="AF147" s="241">
        <f>'FY26'!AV147</f>
        <v>0</v>
      </c>
      <c r="AG147" s="241">
        <f>'FY27'!AV147</f>
        <v>0</v>
      </c>
      <c r="AH147" s="241">
        <f>'FY28'!AV147</f>
        <v>0</v>
      </c>
      <c r="AI147" s="241">
        <f>'FY29'!AV147</f>
        <v>0</v>
      </c>
      <c r="AJ147" s="241">
        <f>'FY30'!AV147</f>
        <v>0</v>
      </c>
      <c r="AL147" s="241">
        <f>'FY26'!BD147</f>
        <v>0</v>
      </c>
      <c r="AM147" s="241">
        <f>'FY27'!BD147</f>
        <v>0</v>
      </c>
      <c r="AN147" s="241">
        <f>'FY28'!BD147</f>
        <v>0</v>
      </c>
      <c r="AO147" s="241">
        <f>'FY29'!BD147</f>
        <v>0</v>
      </c>
      <c r="AP147" s="241">
        <f>'FY30'!BD147</f>
        <v>0</v>
      </c>
      <c r="AR147" s="241">
        <f>'FY26'!BL147</f>
        <v>0</v>
      </c>
      <c r="AS147" s="241">
        <f>'FY27'!BL147</f>
        <v>0</v>
      </c>
      <c r="AT147" s="241">
        <f>'FY28'!BL147</f>
        <v>0</v>
      </c>
      <c r="AU147" s="241">
        <f>'FY29'!BL147</f>
        <v>0</v>
      </c>
      <c r="AV147" s="241">
        <f>'FY30'!BL147</f>
        <v>0</v>
      </c>
      <c r="AX147" s="241">
        <f>'FY26'!BT147</f>
        <v>275000</v>
      </c>
      <c r="AY147" s="241">
        <f>'FY27'!BT147</f>
        <v>290000</v>
      </c>
      <c r="AZ147" s="241">
        <f>'FY28'!BT147</f>
        <v>300000</v>
      </c>
      <c r="BA147" s="241">
        <f>'FY29'!BT147</f>
        <v>320000</v>
      </c>
      <c r="BB147" s="241">
        <f>'FY30'!BT147</f>
        <v>340000</v>
      </c>
    </row>
    <row r="148" spans="1:54" x14ac:dyDescent="0.25">
      <c r="A148" s="212" t="s">
        <v>261</v>
      </c>
      <c r="B148" s="241">
        <f>'FY26'!H148</f>
        <v>50050</v>
      </c>
      <c r="C148" s="241">
        <f>'FY27'!H148</f>
        <v>51912</v>
      </c>
      <c r="D148" s="241">
        <f>'FY28'!H148</f>
        <v>52839</v>
      </c>
      <c r="E148" s="241">
        <f>'FY29'!H148</f>
        <v>53766</v>
      </c>
      <c r="F148" s="241">
        <f>'FY30'!H148</f>
        <v>54693</v>
      </c>
      <c r="H148" s="241">
        <f>'FY26'!P148</f>
        <v>129272</v>
      </c>
      <c r="I148" s="241">
        <f>'FY27'!P148</f>
        <v>133242</v>
      </c>
      <c r="J148" s="241">
        <f>'FY28'!P148</f>
        <v>135756</v>
      </c>
      <c r="K148" s="241">
        <f>'FY29'!P148</f>
        <v>138270</v>
      </c>
      <c r="L148" s="241">
        <f>'FY30'!P148</f>
        <v>140784</v>
      </c>
      <c r="N148" s="241">
        <f>'FY26'!X148</f>
        <v>41200</v>
      </c>
      <c r="O148" s="241">
        <f>'FY27'!X148</f>
        <v>42230</v>
      </c>
      <c r="P148" s="241">
        <f>'FY28'!X148</f>
        <v>43260</v>
      </c>
      <c r="Q148" s="241">
        <f>'FY29'!X148</f>
        <v>44290</v>
      </c>
      <c r="R148" s="241">
        <f>'FY30'!X148</f>
        <v>45320</v>
      </c>
      <c r="T148" s="241">
        <f>'FY26'!AF148</f>
        <v>47360</v>
      </c>
      <c r="U148" s="241">
        <f>'FY27'!AF148</f>
        <v>49118</v>
      </c>
      <c r="V148" s="241">
        <f>'FY28'!AF148</f>
        <v>50316</v>
      </c>
      <c r="W148" s="241">
        <f>'FY29'!AF148</f>
        <v>51514</v>
      </c>
      <c r="X148" s="241">
        <f>'FY30'!AF148</f>
        <v>52712</v>
      </c>
      <c r="Z148" s="241">
        <f>'FY26'!AN148</f>
        <v>169120</v>
      </c>
      <c r="AA148" s="241">
        <f>'FY27'!AN148</f>
        <v>177358</v>
      </c>
      <c r="AB148" s="241">
        <f>'FY28'!AN148</f>
        <v>182880</v>
      </c>
      <c r="AC148" s="241">
        <f>'FY29'!AN148</f>
        <v>183084</v>
      </c>
      <c r="AD148" s="241">
        <f>'FY30'!AN148</f>
        <v>185592</v>
      </c>
      <c r="AF148" s="241">
        <f>'FY26'!AV148</f>
        <v>19240</v>
      </c>
      <c r="AG148" s="241">
        <f>'FY27'!AV148</f>
        <v>35776</v>
      </c>
      <c r="AH148" s="241">
        <f>'FY28'!AV148</f>
        <v>43142</v>
      </c>
      <c r="AI148" s="241">
        <f>'FY29'!AV148</f>
        <v>49356</v>
      </c>
      <c r="AJ148" s="241">
        <f>'FY30'!AV148</f>
        <v>50600</v>
      </c>
      <c r="AL148" s="241">
        <f>'FY26'!BD148</f>
        <v>0</v>
      </c>
      <c r="AM148" s="241">
        <f>'FY27'!BD148</f>
        <v>0</v>
      </c>
      <c r="AN148" s="241">
        <f>'FY28'!BD148</f>
        <v>0</v>
      </c>
      <c r="AO148" s="241">
        <f>'FY29'!BD148</f>
        <v>0</v>
      </c>
      <c r="AP148" s="241">
        <f>'FY30'!BD148</f>
        <v>0</v>
      </c>
      <c r="AR148" s="241">
        <f>'FY26'!BL148</f>
        <v>0</v>
      </c>
      <c r="AS148" s="241">
        <f>'FY27'!BL148</f>
        <v>0</v>
      </c>
      <c r="AT148" s="241">
        <f>'FY28'!BL148</f>
        <v>0</v>
      </c>
      <c r="AU148" s="241">
        <f>'FY29'!BL148</f>
        <v>0</v>
      </c>
      <c r="AV148" s="241">
        <f>'FY30'!BL148</f>
        <v>0</v>
      </c>
      <c r="AX148" s="241">
        <f>'FY26'!BT148</f>
        <v>456242</v>
      </c>
      <c r="AY148" s="241">
        <f>'FY27'!BT148</f>
        <v>489636</v>
      </c>
      <c r="AZ148" s="241">
        <f>'FY28'!BT148</f>
        <v>508193</v>
      </c>
      <c r="BA148" s="241">
        <f>'FY29'!BT148</f>
        <v>520280</v>
      </c>
      <c r="BB148" s="241">
        <f>'FY30'!BT148</f>
        <v>529701</v>
      </c>
    </row>
    <row r="149" spans="1:54" x14ac:dyDescent="0.25">
      <c r="A149" s="213"/>
      <c r="B149" s="258">
        <f>'FY26'!H149</f>
        <v>107380</v>
      </c>
      <c r="C149" s="258">
        <f>'FY27'!H149</f>
        <v>112398.75</v>
      </c>
      <c r="D149" s="258">
        <f>'FY28'!H149</f>
        <v>115411.5</v>
      </c>
      <c r="E149" s="258">
        <f>'FY29'!H149</f>
        <v>118424.25</v>
      </c>
      <c r="F149" s="258">
        <f>'FY30'!H149</f>
        <v>121437</v>
      </c>
      <c r="H149" s="258">
        <f>'FY26'!P149</f>
        <v>410890</v>
      </c>
      <c r="I149" s="258">
        <f>'FY27'!P149</f>
        <v>432280.5</v>
      </c>
      <c r="J149" s="258">
        <f>'FY28'!P149</f>
        <v>445451</v>
      </c>
      <c r="K149" s="258">
        <f>'FY29'!P149</f>
        <v>463621.5</v>
      </c>
      <c r="L149" s="258">
        <f>'FY30'!P149</f>
        <v>481792</v>
      </c>
      <c r="N149" s="258">
        <f>'FY26'!X149</f>
        <v>106090</v>
      </c>
      <c r="O149" s="258">
        <f>'FY27'!X149</f>
        <v>109437.5</v>
      </c>
      <c r="P149" s="258">
        <f>'FY28'!X149</f>
        <v>112785</v>
      </c>
      <c r="Q149" s="258">
        <f>'FY29'!X149</f>
        <v>116132.5</v>
      </c>
      <c r="R149" s="258">
        <f>'FY30'!X149</f>
        <v>119480</v>
      </c>
      <c r="T149" s="258">
        <f>'FY26'!AF149</f>
        <v>121952</v>
      </c>
      <c r="U149" s="258">
        <f>'FY27'!AF149</f>
        <v>127287.5</v>
      </c>
      <c r="V149" s="258">
        <f>'FY28'!AF149</f>
        <v>131181</v>
      </c>
      <c r="W149" s="258">
        <f>'FY29'!AF149</f>
        <v>135074.5</v>
      </c>
      <c r="X149" s="258">
        <f>'FY30'!AF149</f>
        <v>138968</v>
      </c>
      <c r="Z149" s="258">
        <f>'FY26'!AN149</f>
        <v>471328</v>
      </c>
      <c r="AA149" s="258">
        <f>'FY27'!AN149</f>
        <v>495352.5</v>
      </c>
      <c r="AB149" s="258">
        <f>'FY28'!AN149</f>
        <v>514330</v>
      </c>
      <c r="AC149" s="258">
        <f>'FY29'!AN149</f>
        <v>528017</v>
      </c>
      <c r="AD149" s="258">
        <f>'FY30'!AN149</f>
        <v>546168</v>
      </c>
      <c r="AF149" s="258">
        <f>'FY26'!AV149</f>
        <v>42550</v>
      </c>
      <c r="AG149" s="258">
        <f>'FY27'!AV149</f>
        <v>79120</v>
      </c>
      <c r="AH149" s="258">
        <f>'FY28'!AV149</f>
        <v>96459</v>
      </c>
      <c r="AI149" s="258">
        <f>'FY29'!AV149</f>
        <v>111279.5</v>
      </c>
      <c r="AJ149" s="258">
        <f>'FY30'!AV149</f>
        <v>115000</v>
      </c>
      <c r="AL149" s="258">
        <f>'FY26'!BD149</f>
        <v>6300</v>
      </c>
      <c r="AM149" s="258">
        <f>'FY27'!BD149</f>
        <v>8554</v>
      </c>
      <c r="AN149" s="258">
        <f>'FY28'!BD149</f>
        <v>8918</v>
      </c>
      <c r="AO149" s="258">
        <f>'FY29'!BD149</f>
        <v>9282</v>
      </c>
      <c r="AP149" s="258">
        <f>'FY30'!BD149</f>
        <v>9646</v>
      </c>
      <c r="AR149" s="258">
        <f>'FY26'!BL149</f>
        <v>0</v>
      </c>
      <c r="AS149" s="258">
        <f>'FY27'!BL149</f>
        <v>0</v>
      </c>
      <c r="AT149" s="258">
        <f>'FY28'!BL149</f>
        <v>0</v>
      </c>
      <c r="AU149" s="258">
        <f>'FY29'!BL149</f>
        <v>0</v>
      </c>
      <c r="AV149" s="258">
        <f>'FY30'!BL149</f>
        <v>0</v>
      </c>
      <c r="AX149" s="258">
        <f>'FY26'!BT149</f>
        <v>1266490</v>
      </c>
      <c r="AY149" s="258">
        <f>'FY27'!BT149</f>
        <v>1364430.75</v>
      </c>
      <c r="AZ149" s="258">
        <f>'FY28'!BT149</f>
        <v>1424535.5</v>
      </c>
      <c r="BA149" s="258">
        <f>'FY29'!BT149</f>
        <v>1481831.25</v>
      </c>
      <c r="BB149" s="258">
        <f>'FY30'!BT149</f>
        <v>1532491</v>
      </c>
    </row>
    <row r="150" spans="1:54" x14ac:dyDescent="0.25">
      <c r="B150" s="259">
        <f>'FY26'!H150</f>
        <v>0</v>
      </c>
      <c r="C150" s="259">
        <f>'FY27'!H150</f>
        <v>0</v>
      </c>
      <c r="D150" s="259">
        <f>'FY28'!H150</f>
        <v>0</v>
      </c>
      <c r="E150" s="259">
        <f>'FY29'!H150</f>
        <v>0</v>
      </c>
      <c r="F150" s="259">
        <f>'FY30'!H150</f>
        <v>0</v>
      </c>
      <c r="H150" s="259">
        <f>'FY26'!P150</f>
        <v>0</v>
      </c>
      <c r="I150" s="259">
        <f>'FY27'!P150</f>
        <v>0</v>
      </c>
      <c r="J150" s="259">
        <f>'FY28'!P150</f>
        <v>0</v>
      </c>
      <c r="K150" s="259">
        <f>'FY29'!P150</f>
        <v>0</v>
      </c>
      <c r="L150" s="259">
        <f>'FY30'!P150</f>
        <v>0</v>
      </c>
      <c r="N150" s="259">
        <f>'FY26'!X150</f>
        <v>0</v>
      </c>
      <c r="O150" s="259">
        <f>'FY27'!X150</f>
        <v>0</v>
      </c>
      <c r="P150" s="259">
        <f>'FY28'!X150</f>
        <v>0</v>
      </c>
      <c r="Q150" s="259">
        <f>'FY29'!X150</f>
        <v>0</v>
      </c>
      <c r="R150" s="259">
        <f>'FY30'!X150</f>
        <v>0</v>
      </c>
      <c r="T150" s="259">
        <f>'FY26'!AF150</f>
        <v>0</v>
      </c>
      <c r="U150" s="259">
        <f>'FY27'!AF150</f>
        <v>0</v>
      </c>
      <c r="V150" s="259">
        <f>'FY28'!AF150</f>
        <v>0</v>
      </c>
      <c r="W150" s="259">
        <f>'FY29'!AF150</f>
        <v>0</v>
      </c>
      <c r="X150" s="259">
        <f>'FY30'!AF150</f>
        <v>0</v>
      </c>
      <c r="Z150" s="259">
        <f>'FY26'!AN150</f>
        <v>0</v>
      </c>
      <c r="AA150" s="259">
        <f>'FY27'!AN150</f>
        <v>0</v>
      </c>
      <c r="AB150" s="259">
        <f>'FY28'!AN150</f>
        <v>0</v>
      </c>
      <c r="AC150" s="259">
        <f>'FY29'!AN150</f>
        <v>0</v>
      </c>
      <c r="AD150" s="259">
        <f>'FY30'!AN150</f>
        <v>0</v>
      </c>
      <c r="AF150" s="259">
        <f>'FY26'!AV150</f>
        <v>0</v>
      </c>
      <c r="AG150" s="259">
        <f>'FY27'!AV150</f>
        <v>0</v>
      </c>
      <c r="AH150" s="259">
        <f>'FY28'!AV150</f>
        <v>0</v>
      </c>
      <c r="AI150" s="259">
        <f>'FY29'!AV150</f>
        <v>0</v>
      </c>
      <c r="AJ150" s="259">
        <f>'FY30'!AV150</f>
        <v>0</v>
      </c>
      <c r="AL150" s="259">
        <f>'FY26'!BD150</f>
        <v>0</v>
      </c>
      <c r="AM150" s="259">
        <f>'FY27'!BD150</f>
        <v>0</v>
      </c>
      <c r="AN150" s="259">
        <f>'FY28'!BD150</f>
        <v>0</v>
      </c>
      <c r="AO150" s="259">
        <f>'FY29'!BD150</f>
        <v>0</v>
      </c>
      <c r="AP150" s="259">
        <f>'FY30'!BD150</f>
        <v>0</v>
      </c>
      <c r="AR150" s="259">
        <f>'FY26'!BL150</f>
        <v>0</v>
      </c>
      <c r="AS150" s="259">
        <f>'FY27'!BL150</f>
        <v>0</v>
      </c>
      <c r="AT150" s="259">
        <f>'FY28'!BL150</f>
        <v>0</v>
      </c>
      <c r="AU150" s="259">
        <f>'FY29'!BL150</f>
        <v>0</v>
      </c>
      <c r="AV150" s="259">
        <f>'FY30'!BL150</f>
        <v>0</v>
      </c>
      <c r="AX150" s="259">
        <f>'FY26'!BT150</f>
        <v>0</v>
      </c>
      <c r="AY150" s="259">
        <f>'FY27'!BT150</f>
        <v>0</v>
      </c>
      <c r="AZ150" s="259">
        <f>'FY28'!BT150</f>
        <v>0</v>
      </c>
      <c r="BA150" s="259">
        <f>'FY29'!BT150</f>
        <v>0</v>
      </c>
      <c r="BB150" s="259">
        <f>'FY30'!BT150</f>
        <v>0</v>
      </c>
    </row>
    <row r="151" spans="1:54" x14ac:dyDescent="0.25">
      <c r="A151" s="208" t="s">
        <v>334</v>
      </c>
      <c r="B151" s="260" t="str">
        <f>'FY26'!H151</f>
        <v>Total (25-26)</v>
      </c>
      <c r="C151" s="260" t="str">
        <f>'FY27'!H151</f>
        <v>Horizon</v>
      </c>
      <c r="D151" s="260" t="str">
        <f>'FY28'!H151</f>
        <v>Horizon</v>
      </c>
      <c r="E151" s="260" t="str">
        <f>'FY29'!H151</f>
        <v>Horizon</v>
      </c>
      <c r="F151" s="260" t="str">
        <f>'FY30'!H151</f>
        <v>Horizon</v>
      </c>
      <c r="H151" s="260" t="str">
        <f>'FY26'!P151</f>
        <v>Cadence</v>
      </c>
      <c r="I151" s="260" t="str">
        <f>'FY27'!P151</f>
        <v>Cadence</v>
      </c>
      <c r="J151" s="260" t="str">
        <f>'FY28'!P151</f>
        <v>Cadence</v>
      </c>
      <c r="K151" s="260" t="str">
        <f>'FY29'!P151</f>
        <v>Cadence</v>
      </c>
      <c r="L151" s="260" t="str">
        <f>'FY30'!P151</f>
        <v>Cadence</v>
      </c>
      <c r="N151" s="260" t="str">
        <f>'FY26'!X151</f>
        <v>St. Rose</v>
      </c>
      <c r="O151" s="260" t="str">
        <f>'FY27'!X151</f>
        <v>St. Rose</v>
      </c>
      <c r="P151" s="260" t="str">
        <f>'FY28'!X151</f>
        <v>St. Rose</v>
      </c>
      <c r="Q151" s="260" t="str">
        <f>'FY29'!X151</f>
        <v>St. Rose</v>
      </c>
      <c r="R151" s="260" t="str">
        <f>'FY30'!X151</f>
        <v>St. Rose</v>
      </c>
      <c r="T151" s="260" t="str">
        <f>'FY26'!AF151</f>
        <v>Inspirada</v>
      </c>
      <c r="U151" s="260" t="str">
        <f>'FY27'!AF151</f>
        <v>Inspirada</v>
      </c>
      <c r="V151" s="260" t="str">
        <f>'FY28'!AF151</f>
        <v>Inspirada</v>
      </c>
      <c r="W151" s="260" t="str">
        <f>'FY29'!AF151</f>
        <v>Inspirada</v>
      </c>
      <c r="X151" s="260" t="str">
        <f>'FY30'!AF151</f>
        <v>Inspirada</v>
      </c>
      <c r="Z151" s="260" t="str">
        <f>'FY26'!AN151</f>
        <v>Sloan</v>
      </c>
      <c r="AA151" s="260" t="str">
        <f>'FY27'!AN151</f>
        <v>Sloan</v>
      </c>
      <c r="AB151" s="260" t="str">
        <f>'FY28'!AN151</f>
        <v>Sloan</v>
      </c>
      <c r="AC151" s="260" t="str">
        <f>'FY29'!AN151</f>
        <v>Sloan</v>
      </c>
      <c r="AD151" s="260" t="str">
        <f>'FY30'!AN151</f>
        <v>Sloan</v>
      </c>
      <c r="AF151" s="260" t="str">
        <f>'FY26'!AV151</f>
        <v>Springs</v>
      </c>
      <c r="AG151" s="260" t="str">
        <f>'FY27'!AV151</f>
        <v>Springs</v>
      </c>
      <c r="AH151" s="260" t="str">
        <f>'FY28'!AV151</f>
        <v>Springs</v>
      </c>
      <c r="AI151" s="260" t="str">
        <f>'FY29'!AV151</f>
        <v>Springs</v>
      </c>
      <c r="AJ151" s="260" t="str">
        <f>'FY30'!AV151</f>
        <v>Springs</v>
      </c>
      <c r="AL151" s="260" t="str">
        <f>'FY26'!BD151</f>
        <v>Virtual</v>
      </c>
      <c r="AM151" s="260" t="str">
        <f>'FY27'!BD151</f>
        <v>Virtual</v>
      </c>
      <c r="AN151" s="260" t="str">
        <f>'FY28'!BD151</f>
        <v>Virtual</v>
      </c>
      <c r="AO151" s="260" t="str">
        <f>'FY29'!BD151</f>
        <v>Virtual</v>
      </c>
      <c r="AP151" s="260" t="str">
        <f>'FY30'!BD151</f>
        <v>Virtual</v>
      </c>
      <c r="AR151" s="260" t="str">
        <f>'FY26'!BL151</f>
        <v>Central</v>
      </c>
      <c r="AS151" s="260" t="str">
        <f>'FY27'!BL151</f>
        <v>Central</v>
      </c>
      <c r="AT151" s="260" t="str">
        <f>'FY28'!BL151</f>
        <v>Central</v>
      </c>
      <c r="AU151" s="260" t="str">
        <f>'FY29'!BL151</f>
        <v>Central</v>
      </c>
      <c r="AV151" s="260" t="str">
        <f>'FY30'!BL151</f>
        <v>Central</v>
      </c>
      <c r="AX151" s="260" t="str">
        <f>'FY26'!BT151</f>
        <v>System</v>
      </c>
      <c r="AY151" s="260" t="str">
        <f>'FY27'!BT151</f>
        <v>System</v>
      </c>
      <c r="AZ151" s="260" t="str">
        <f>'FY28'!BT151</f>
        <v>System</v>
      </c>
      <c r="BA151" s="260" t="str">
        <f>'FY29'!BT151</f>
        <v>System</v>
      </c>
      <c r="BB151" s="260" t="str">
        <f>'FY30'!BT151</f>
        <v>System</v>
      </c>
    </row>
    <row r="152" spans="1:54" x14ac:dyDescent="0.25">
      <c r="A152" s="214" t="s">
        <v>262</v>
      </c>
      <c r="B152" s="257">
        <f>'FY26'!H152</f>
        <v>8500</v>
      </c>
      <c r="C152" s="257">
        <f>'FY27'!H152</f>
        <v>8755</v>
      </c>
      <c r="D152" s="257">
        <f>'FY28'!H152</f>
        <v>8930.1</v>
      </c>
      <c r="E152" s="257">
        <f>'FY29'!H152</f>
        <v>9108.7020000000011</v>
      </c>
      <c r="F152" s="257">
        <f>'FY30'!H152</f>
        <v>9290.876040000001</v>
      </c>
      <c r="H152" s="257">
        <f>'FY26'!P152</f>
        <v>22500</v>
      </c>
      <c r="I152" s="257">
        <f>'FY27'!P152</f>
        <v>23175</v>
      </c>
      <c r="J152" s="257">
        <f>'FY28'!P152</f>
        <v>23870.25</v>
      </c>
      <c r="K152" s="257">
        <f>'FY29'!P152</f>
        <v>24586.357500000002</v>
      </c>
      <c r="L152" s="257">
        <f>'FY30'!P152</f>
        <v>25323.948225000004</v>
      </c>
      <c r="N152" s="257">
        <f>'FY26'!X152</f>
        <v>13000</v>
      </c>
      <c r="O152" s="257">
        <f>'FY27'!X152</f>
        <v>13390</v>
      </c>
      <c r="P152" s="257">
        <f>'FY28'!X152</f>
        <v>13657.800000000001</v>
      </c>
      <c r="Q152" s="257">
        <f>'FY29'!X152</f>
        <v>13930.956000000002</v>
      </c>
      <c r="R152" s="257">
        <f>'FY30'!X152</f>
        <v>14209.575120000001</v>
      </c>
      <c r="T152" s="257">
        <f>'FY26'!AF152</f>
        <v>13000</v>
      </c>
      <c r="U152" s="257">
        <f>'FY27'!AF152</f>
        <v>13390</v>
      </c>
      <c r="V152" s="257">
        <f>'FY28'!AF152</f>
        <v>13657.800000000001</v>
      </c>
      <c r="W152" s="257">
        <f>'FY29'!AF152</f>
        <v>13930.956000000002</v>
      </c>
      <c r="X152" s="257">
        <f>'FY30'!AF152</f>
        <v>14209.575120000001</v>
      </c>
      <c r="Z152" s="257">
        <f>'FY26'!AN152</f>
        <v>22500</v>
      </c>
      <c r="AA152" s="257">
        <f>'FY27'!AN152</f>
        <v>23085</v>
      </c>
      <c r="AB152" s="257">
        <f>'FY28'!AN152</f>
        <v>23687.55</v>
      </c>
      <c r="AC152" s="257">
        <f>'FY29'!AN152</f>
        <v>24308.176500000001</v>
      </c>
      <c r="AD152" s="257">
        <f>'FY30'!AN152</f>
        <v>24734.340030000003</v>
      </c>
      <c r="AF152" s="257">
        <f>'FY26'!AV152</f>
        <v>6500</v>
      </c>
      <c r="AG152" s="257">
        <f>'FY27'!AV152</f>
        <v>6500</v>
      </c>
      <c r="AH152" s="257">
        <f>'FY28'!AV152</f>
        <v>6695</v>
      </c>
      <c r="AI152" s="257">
        <f>'FY29'!AV152</f>
        <v>6895.85</v>
      </c>
      <c r="AJ152" s="257">
        <f>'FY30'!AV152</f>
        <v>7033.7670000000007</v>
      </c>
      <c r="AL152" s="257">
        <f>'FY26'!BD152</f>
        <v>13000</v>
      </c>
      <c r="AM152" s="257">
        <f>'FY27'!BD152</f>
        <v>13390</v>
      </c>
      <c r="AN152" s="257">
        <f>'FY28'!BD152</f>
        <v>13791.7</v>
      </c>
      <c r="AO152" s="257">
        <f>'FY29'!BD152</f>
        <v>14205.451000000001</v>
      </c>
      <c r="AP152" s="257">
        <f>'FY30'!BD152</f>
        <v>14489.560020000001</v>
      </c>
      <c r="AR152" s="257">
        <f>'FY26'!BL152</f>
        <v>0</v>
      </c>
      <c r="AS152" s="257">
        <f>'FY27'!BL152</f>
        <v>0</v>
      </c>
      <c r="AT152" s="257">
        <f>'FY28'!BL152</f>
        <v>0</v>
      </c>
      <c r="AU152" s="257">
        <f>'FY29'!BL152</f>
        <v>0</v>
      </c>
      <c r="AV152" s="257">
        <f>'FY30'!BL152</f>
        <v>0</v>
      </c>
      <c r="AX152" s="257">
        <f>'FY26'!BT152</f>
        <v>99000</v>
      </c>
      <c r="AY152" s="257">
        <f>'FY27'!BT152</f>
        <v>101685</v>
      </c>
      <c r="AZ152" s="257">
        <f>'FY28'!BT152</f>
        <v>104290.2</v>
      </c>
      <c r="BA152" s="257">
        <f>'FY29'!BT152</f>
        <v>106966.44900000002</v>
      </c>
      <c r="BB152" s="257">
        <f>'FY30'!BT152</f>
        <v>109291.64155500002</v>
      </c>
    </row>
    <row r="153" spans="1:54" x14ac:dyDescent="0.25">
      <c r="A153" s="211" t="s">
        <v>263</v>
      </c>
      <c r="B153" s="257">
        <f>'FY26'!H153</f>
        <v>414050</v>
      </c>
      <c r="C153" s="257">
        <f>'FY27'!H153</f>
        <v>426420</v>
      </c>
      <c r="D153" s="257">
        <f>'FY28'!H153</f>
        <v>431055</v>
      </c>
      <c r="E153" s="257">
        <f>'FY29'!H153</f>
        <v>435690</v>
      </c>
      <c r="F153" s="257">
        <f>'FY30'!H153</f>
        <v>440325</v>
      </c>
      <c r="H153" s="257">
        <f>'FY26'!P153</f>
        <v>385330</v>
      </c>
      <c r="I153" s="257">
        <f>'FY27'!P153</f>
        <v>402240</v>
      </c>
      <c r="J153" s="257">
        <f>'FY28'!P153</f>
        <v>414810</v>
      </c>
      <c r="K153" s="257">
        <f>'FY29'!P153</f>
        <v>427380</v>
      </c>
      <c r="L153" s="257">
        <f>'FY30'!P153</f>
        <v>439950</v>
      </c>
      <c r="N153" s="257">
        <f>'FY26'!X153</f>
        <v>180250</v>
      </c>
      <c r="O153" s="257">
        <f>'FY27'!X153</f>
        <v>185400</v>
      </c>
      <c r="P153" s="257">
        <f>'FY28'!X153</f>
        <v>190550</v>
      </c>
      <c r="Q153" s="257">
        <f>'FY29'!X153</f>
        <v>195700</v>
      </c>
      <c r="R153" s="257">
        <f>'FY30'!X153</f>
        <v>200850</v>
      </c>
      <c r="T153" s="257">
        <f>'FY26'!AF153</f>
        <v>100640</v>
      </c>
      <c r="U153" s="257">
        <f>'FY27'!AF153</f>
        <v>107820</v>
      </c>
      <c r="V153" s="257">
        <f>'FY28'!AF153</f>
        <v>113810</v>
      </c>
      <c r="W153" s="257">
        <f>'FY29'!AF153</f>
        <v>119800</v>
      </c>
      <c r="X153" s="257">
        <f>'FY30'!AF153</f>
        <v>125790</v>
      </c>
      <c r="Z153" s="257">
        <f>'FY26'!AN153</f>
        <v>422800</v>
      </c>
      <c r="AA153" s="257">
        <f>'FY27'!AN153</f>
        <v>449640</v>
      </c>
      <c r="AB153" s="257">
        <f>'FY28'!AN153</f>
        <v>469900</v>
      </c>
      <c r="AC153" s="257">
        <f>'FY29'!AN153</f>
        <v>476520</v>
      </c>
      <c r="AD153" s="257">
        <f>'FY30'!AN153</f>
        <v>489060</v>
      </c>
      <c r="AF153" s="257">
        <f>'FY26'!AV153</f>
        <v>231250</v>
      </c>
      <c r="AG153" s="257">
        <f>'FY27'!AV153</f>
        <v>275200</v>
      </c>
      <c r="AH153" s="257">
        <f>'FY28'!AV153</f>
        <v>329670</v>
      </c>
      <c r="AI153" s="257">
        <f>'FY29'!AV153</f>
        <v>379310</v>
      </c>
      <c r="AJ153" s="257">
        <f>'FY30'!AV153</f>
        <v>386400</v>
      </c>
      <c r="AL153" s="257">
        <f>'FY26'!BD153</f>
        <v>37100</v>
      </c>
      <c r="AM153" s="257">
        <f>'FY27'!BD153</f>
        <v>50050</v>
      </c>
      <c r="AN153" s="257">
        <f>'FY28'!BD153</f>
        <v>51870</v>
      </c>
      <c r="AO153" s="257">
        <f>'FY29'!BD153</f>
        <v>54600</v>
      </c>
      <c r="AP153" s="257">
        <f>'FY30'!BD153</f>
        <v>56420</v>
      </c>
      <c r="AR153" s="257">
        <f>'FY26'!BL153</f>
        <v>0</v>
      </c>
      <c r="AS153" s="257">
        <f>'FY27'!BL153</f>
        <v>0</v>
      </c>
      <c r="AT153" s="257">
        <f>'FY28'!BL153</f>
        <v>0</v>
      </c>
      <c r="AU153" s="257">
        <f>'FY29'!BL153</f>
        <v>0</v>
      </c>
      <c r="AV153" s="257">
        <f>'FY30'!BL153</f>
        <v>0</v>
      </c>
      <c r="AX153" s="257">
        <f>'FY26'!BT153</f>
        <v>1771420</v>
      </c>
      <c r="AY153" s="257">
        <f>'FY27'!BT153</f>
        <v>1896770</v>
      </c>
      <c r="AZ153" s="257">
        <f>'FY28'!BT153</f>
        <v>2001665</v>
      </c>
      <c r="BA153" s="257">
        <f>'FY29'!BT153</f>
        <v>2089000</v>
      </c>
      <c r="BB153" s="257">
        <f>'FY30'!BT153</f>
        <v>2138795</v>
      </c>
    </row>
    <row r="154" spans="1:54" x14ac:dyDescent="0.25">
      <c r="A154" s="211" t="s">
        <v>325</v>
      </c>
      <c r="B154" s="257">
        <f>'FY26'!H154</f>
        <v>71680</v>
      </c>
      <c r="C154" s="257">
        <f>'FY27'!H154</f>
        <v>76170</v>
      </c>
      <c r="D154" s="257">
        <f>'FY28'!H154</f>
        <v>77855</v>
      </c>
      <c r="E154" s="257">
        <f>'FY29'!H154</f>
        <v>79540</v>
      </c>
      <c r="F154" s="257">
        <f>'FY30'!H154</f>
        <v>81225</v>
      </c>
      <c r="H154" s="257">
        <f>'FY26'!P154</f>
        <v>158885</v>
      </c>
      <c r="I154" s="257">
        <f>'FY27'!P154</f>
        <v>172410</v>
      </c>
      <c r="J154" s="257">
        <f>'FY28'!P154</f>
        <v>175980</v>
      </c>
      <c r="K154" s="257">
        <f>'FY29'!P154</f>
        <v>179550</v>
      </c>
      <c r="L154" s="257">
        <f>'FY30'!P154</f>
        <v>183120</v>
      </c>
      <c r="N154" s="257">
        <f>'FY26'!X154</f>
        <v>76300</v>
      </c>
      <c r="O154" s="257">
        <f>'FY27'!X154</f>
        <v>81120</v>
      </c>
      <c r="P154" s="257">
        <f>'FY28'!X154</f>
        <v>82860</v>
      </c>
      <c r="Q154" s="257">
        <f>'FY29'!X154</f>
        <v>84600</v>
      </c>
      <c r="R154" s="257">
        <f>'FY30'!X154</f>
        <v>86340</v>
      </c>
      <c r="T154" s="257">
        <f>'FY26'!AF154</f>
        <v>74005</v>
      </c>
      <c r="U154" s="257">
        <f>'FY27'!AF154</f>
        <v>79465</v>
      </c>
      <c r="V154" s="257">
        <f>'FY28'!AF154</f>
        <v>81020</v>
      </c>
      <c r="W154" s="257">
        <f>'FY29'!AF154</f>
        <v>82575</v>
      </c>
      <c r="X154" s="257">
        <f>'FY30'!AF154</f>
        <v>84130</v>
      </c>
      <c r="Z154" s="257">
        <f>'FY26'!AN154</f>
        <v>125240</v>
      </c>
      <c r="AA154" s="257">
        <f>'FY27'!AN154</f>
        <v>142375</v>
      </c>
      <c r="AB154" s="257">
        <f>'FY28'!AN154</f>
        <v>147520</v>
      </c>
      <c r="AC154" s="257">
        <f>'FY29'!AN154</f>
        <v>145350</v>
      </c>
      <c r="AD154" s="257">
        <f>'FY30'!AN154</f>
        <v>148020</v>
      </c>
      <c r="AF154" s="257">
        <f>'FY26'!AV154</f>
        <v>42735</v>
      </c>
      <c r="AG154" s="257">
        <f>'FY27'!AV154</f>
        <v>78045</v>
      </c>
      <c r="AH154" s="257">
        <f>'FY28'!AV154</f>
        <v>93170</v>
      </c>
      <c r="AI154" s="257">
        <f>'FY29'!AV154</f>
        <v>103950</v>
      </c>
      <c r="AJ154" s="257">
        <f>'FY30'!AV154</f>
        <v>106260</v>
      </c>
      <c r="AL154" s="257">
        <f>'FY26'!BD154</f>
        <v>2145</v>
      </c>
      <c r="AM154" s="257">
        <f>'FY27'!BD154</f>
        <v>2365</v>
      </c>
      <c r="AN154" s="257">
        <f>'FY28'!BD154</f>
        <v>2420</v>
      </c>
      <c r="AO154" s="257">
        <f>'FY29'!BD154</f>
        <v>2475</v>
      </c>
      <c r="AP154" s="257">
        <f>'FY30'!BD154</f>
        <v>2530</v>
      </c>
      <c r="AR154" s="257">
        <f>'FY26'!BL154</f>
        <v>0</v>
      </c>
      <c r="AS154" s="257">
        <f>'FY27'!BL154</f>
        <v>0</v>
      </c>
      <c r="AT154" s="257">
        <f>'FY28'!BL154</f>
        <v>0</v>
      </c>
      <c r="AU154" s="257">
        <f>'FY29'!BL154</f>
        <v>0</v>
      </c>
      <c r="AV154" s="257">
        <f>'FY30'!BL154</f>
        <v>0</v>
      </c>
      <c r="AX154" s="257">
        <f>'FY26'!BT154</f>
        <v>550990</v>
      </c>
      <c r="AY154" s="257">
        <f>'FY27'!BT154</f>
        <v>631950</v>
      </c>
      <c r="AZ154" s="257">
        <f>'FY28'!BT154</f>
        <v>660825</v>
      </c>
      <c r="BA154" s="257">
        <f>'FY29'!BT154</f>
        <v>678040</v>
      </c>
      <c r="BB154" s="257">
        <f>'FY30'!BT154</f>
        <v>691625</v>
      </c>
    </row>
    <row r="155" spans="1:54" x14ac:dyDescent="0.25">
      <c r="A155" s="211" t="s">
        <v>264</v>
      </c>
      <c r="B155" s="257">
        <f>'FY26'!H155</f>
        <v>0</v>
      </c>
      <c r="C155" s="257">
        <f>'FY27'!H155</f>
        <v>0</v>
      </c>
      <c r="D155" s="257">
        <f>'FY28'!H155</f>
        <v>0</v>
      </c>
      <c r="E155" s="257">
        <f>'FY29'!H155</f>
        <v>0</v>
      </c>
      <c r="F155" s="257">
        <f>'FY30'!H155</f>
        <v>0</v>
      </c>
      <c r="H155" s="257">
        <f>'FY26'!P155</f>
        <v>0</v>
      </c>
      <c r="I155" s="257">
        <f>'FY27'!P155</f>
        <v>0</v>
      </c>
      <c r="J155" s="257">
        <f>'FY28'!P155</f>
        <v>0</v>
      </c>
      <c r="K155" s="257">
        <f>'FY29'!P155</f>
        <v>0</v>
      </c>
      <c r="L155" s="257">
        <f>'FY30'!P155</f>
        <v>0</v>
      </c>
      <c r="N155" s="257">
        <f>'FY26'!X155</f>
        <v>0</v>
      </c>
      <c r="O155" s="257">
        <f>'FY27'!X155</f>
        <v>0</v>
      </c>
      <c r="P155" s="257">
        <f>'FY28'!X155</f>
        <v>0</v>
      </c>
      <c r="Q155" s="257">
        <f>'FY29'!X155</f>
        <v>0</v>
      </c>
      <c r="R155" s="257">
        <f>'FY30'!X155</f>
        <v>0</v>
      </c>
      <c r="T155" s="257">
        <f>'FY26'!AF155</f>
        <v>0</v>
      </c>
      <c r="U155" s="257">
        <f>'FY27'!AF155</f>
        <v>0</v>
      </c>
      <c r="V155" s="257">
        <f>'FY28'!AF155</f>
        <v>0</v>
      </c>
      <c r="W155" s="257">
        <f>'FY29'!AF155</f>
        <v>0</v>
      </c>
      <c r="X155" s="257">
        <f>'FY30'!AF155</f>
        <v>0</v>
      </c>
      <c r="Z155" s="257">
        <f>'FY26'!AN155</f>
        <v>0</v>
      </c>
      <c r="AA155" s="257">
        <f>'FY27'!AN155</f>
        <v>0</v>
      </c>
      <c r="AB155" s="257">
        <f>'FY28'!AN155</f>
        <v>0</v>
      </c>
      <c r="AC155" s="257">
        <f>'FY29'!AN155</f>
        <v>0</v>
      </c>
      <c r="AD155" s="257">
        <f>'FY30'!AN155</f>
        <v>0</v>
      </c>
      <c r="AF155" s="257">
        <f>'FY26'!AV155</f>
        <v>0</v>
      </c>
      <c r="AG155" s="257">
        <f>'FY27'!AV155</f>
        <v>0</v>
      </c>
      <c r="AH155" s="257">
        <f>'FY28'!AV155</f>
        <v>0</v>
      </c>
      <c r="AI155" s="257">
        <f>'FY29'!AV155</f>
        <v>0</v>
      </c>
      <c r="AJ155" s="257">
        <f>'FY30'!AV155</f>
        <v>0</v>
      </c>
      <c r="AL155" s="257">
        <f>'FY26'!BD155</f>
        <v>210000</v>
      </c>
      <c r="AM155" s="257">
        <f>'FY27'!BD155</f>
        <v>283920</v>
      </c>
      <c r="AN155" s="257">
        <f>'FY28'!BD155</f>
        <v>294840</v>
      </c>
      <c r="AO155" s="257">
        <f>'FY29'!BD155</f>
        <v>305760</v>
      </c>
      <c r="AP155" s="257">
        <f>'FY30'!BD155</f>
        <v>316680</v>
      </c>
      <c r="AR155" s="257">
        <f>'FY26'!BL155</f>
        <v>0</v>
      </c>
      <c r="AS155" s="257">
        <f>'FY27'!BL155</f>
        <v>0</v>
      </c>
      <c r="AT155" s="257">
        <f>'FY28'!BL155</f>
        <v>0</v>
      </c>
      <c r="AU155" s="257">
        <f>'FY29'!BL155</f>
        <v>0</v>
      </c>
      <c r="AV155" s="257">
        <f>'FY30'!BL155</f>
        <v>0</v>
      </c>
      <c r="AX155" s="257">
        <f>'FY26'!BT155</f>
        <v>210000</v>
      </c>
      <c r="AY155" s="257">
        <f>'FY27'!BT155</f>
        <v>283920</v>
      </c>
      <c r="AZ155" s="257">
        <f>'FY28'!BT155</f>
        <v>294840</v>
      </c>
      <c r="BA155" s="257">
        <f>'FY29'!BT155</f>
        <v>305760</v>
      </c>
      <c r="BB155" s="257">
        <f>'FY30'!BT155</f>
        <v>316680</v>
      </c>
    </row>
    <row r="156" spans="1:54" x14ac:dyDescent="0.25">
      <c r="A156" s="211" t="s">
        <v>265</v>
      </c>
      <c r="B156" s="257">
        <f>'FY26'!H156</f>
        <v>42842.8</v>
      </c>
      <c r="C156" s="257">
        <f>'FY27'!H156</f>
        <v>43967.61</v>
      </c>
      <c r="D156" s="257">
        <f>'FY28'!H156</f>
        <v>44635.05</v>
      </c>
      <c r="E156" s="257">
        <f>'FY29'!H156</f>
        <v>45307.125</v>
      </c>
      <c r="F156" s="257">
        <f>'FY30'!H156</f>
        <v>46002.375</v>
      </c>
      <c r="H156" s="257">
        <f>'FY26'!P156</f>
        <v>117040.88</v>
      </c>
      <c r="I156" s="257">
        <f>'FY27'!P156</f>
        <v>119239.02</v>
      </c>
      <c r="J156" s="257">
        <f>'FY28'!P156</f>
        <v>121049.1</v>
      </c>
      <c r="K156" s="257">
        <f>'FY29'!P156</f>
        <v>122871.75</v>
      </c>
      <c r="L156" s="257">
        <f>'FY30'!P156</f>
        <v>124757.25</v>
      </c>
      <c r="N156" s="257">
        <f>'FY26'!X156</f>
        <v>48492.4</v>
      </c>
      <c r="O156" s="257">
        <f>'FY27'!X156</f>
        <v>48852.9</v>
      </c>
      <c r="P156" s="257">
        <f>'FY28'!X156</f>
        <v>49594.5</v>
      </c>
      <c r="Q156" s="257">
        <f>'FY29'!X156</f>
        <v>50341.25</v>
      </c>
      <c r="R156" s="257">
        <f>'FY30'!X156</f>
        <v>51113.75</v>
      </c>
      <c r="T156" s="257">
        <f>'FY26'!AF156</f>
        <v>55742.720000000001</v>
      </c>
      <c r="U156" s="257">
        <f>'FY27'!AF156</f>
        <v>56821.14</v>
      </c>
      <c r="V156" s="257">
        <f>'FY28'!AF156</f>
        <v>57683.700000000004</v>
      </c>
      <c r="W156" s="257">
        <f>'FY29'!AF156</f>
        <v>58552.25</v>
      </c>
      <c r="X156" s="257">
        <f>'FY30'!AF156</f>
        <v>59450.75</v>
      </c>
      <c r="Z156" s="257">
        <f>'FY26'!AN156</f>
        <v>113745.28</v>
      </c>
      <c r="AA156" s="257">
        <f>'FY27'!AN156</f>
        <v>118480.14</v>
      </c>
      <c r="AB156" s="257">
        <f>'FY28'!AN156</f>
        <v>122301</v>
      </c>
      <c r="AC156" s="257">
        <f>'FY29'!AN156</f>
        <v>122578.5</v>
      </c>
      <c r="AD156" s="257">
        <f>'FY30'!AN156</f>
        <v>124459.5</v>
      </c>
      <c r="AF156" s="257">
        <f>'FY26'!AV156</f>
        <v>17419.599999999999</v>
      </c>
      <c r="AG156" s="257">
        <f>'FY27'!AV156</f>
        <v>32631.84</v>
      </c>
      <c r="AH156" s="257">
        <f>'FY28'!AV156</f>
        <v>39194.1</v>
      </c>
      <c r="AI156" s="257">
        <f>'FY29'!AV156</f>
        <v>44671.75</v>
      </c>
      <c r="AJ156" s="257">
        <f>'FY30'!AV156</f>
        <v>45655</v>
      </c>
      <c r="AL156" s="257">
        <f>'FY26'!BD156</f>
        <v>6591.2</v>
      </c>
      <c r="AM156" s="257">
        <f>'FY27'!BD156</f>
        <v>8632.26</v>
      </c>
      <c r="AN156" s="257">
        <f>'FY28'!BD156</f>
        <v>8763.3000000000011</v>
      </c>
      <c r="AO156" s="257">
        <f>'FY29'!BD156</f>
        <v>8895.25</v>
      </c>
      <c r="AP156" s="257">
        <f>'FY30'!BD156</f>
        <v>9031.75</v>
      </c>
      <c r="AR156" s="257">
        <f>'FY26'!BL156</f>
        <v>0</v>
      </c>
      <c r="AS156" s="257">
        <f>'FY27'!BL156</f>
        <v>0</v>
      </c>
      <c r="AT156" s="257">
        <f>'FY28'!BL156</f>
        <v>0</v>
      </c>
      <c r="AU156" s="257">
        <f>'FY29'!BL156</f>
        <v>0</v>
      </c>
      <c r="AV156" s="257">
        <f>'FY30'!BL156</f>
        <v>0</v>
      </c>
      <c r="AX156" s="257">
        <f>'FY26'!BT156</f>
        <v>401874.87999999995</v>
      </c>
      <c r="AY156" s="257">
        <f>'FY27'!BT156</f>
        <v>428624.91000000003</v>
      </c>
      <c r="AZ156" s="257">
        <f>'FY28'!BT156</f>
        <v>443220.75</v>
      </c>
      <c r="BA156" s="257">
        <f>'FY29'!BT156</f>
        <v>453217.875</v>
      </c>
      <c r="BB156" s="257">
        <f>'FY30'!BT156</f>
        <v>460470.375</v>
      </c>
    </row>
    <row r="157" spans="1:54" x14ac:dyDescent="0.25">
      <c r="A157" s="211" t="s">
        <v>266</v>
      </c>
      <c r="B157" s="257">
        <f>'FY26'!H157</f>
        <v>42842.8</v>
      </c>
      <c r="C157" s="257">
        <f>'FY27'!H157</f>
        <v>43967.61</v>
      </c>
      <c r="D157" s="257">
        <f>'FY28'!H157</f>
        <v>44635.05</v>
      </c>
      <c r="E157" s="257">
        <f>'FY29'!H157</f>
        <v>45307.125</v>
      </c>
      <c r="F157" s="257">
        <f>'FY30'!H157</f>
        <v>46002.375</v>
      </c>
      <c r="H157" s="257">
        <f>'FY26'!P157</f>
        <v>117040.88</v>
      </c>
      <c r="I157" s="257">
        <f>'FY27'!P157</f>
        <v>119239.02</v>
      </c>
      <c r="J157" s="257">
        <f>'FY28'!P157</f>
        <v>121049.1</v>
      </c>
      <c r="K157" s="257">
        <f>'FY29'!P157</f>
        <v>122871.75</v>
      </c>
      <c r="L157" s="257">
        <f>'FY30'!P157</f>
        <v>124757.25</v>
      </c>
      <c r="N157" s="257">
        <f>'FY26'!X157</f>
        <v>48492.4</v>
      </c>
      <c r="O157" s="257">
        <f>'FY27'!X157</f>
        <v>48852.9</v>
      </c>
      <c r="P157" s="257">
        <f>'FY28'!X157</f>
        <v>49594.5</v>
      </c>
      <c r="Q157" s="257">
        <f>'FY29'!X157</f>
        <v>50341.25</v>
      </c>
      <c r="R157" s="257">
        <f>'FY30'!X157</f>
        <v>51113.75</v>
      </c>
      <c r="T157" s="257">
        <f>'FY26'!AF157</f>
        <v>55742.720000000001</v>
      </c>
      <c r="U157" s="257">
        <f>'FY27'!AF157</f>
        <v>56821.14</v>
      </c>
      <c r="V157" s="257">
        <f>'FY28'!AF157</f>
        <v>57683.700000000004</v>
      </c>
      <c r="W157" s="257">
        <f>'FY29'!AF157</f>
        <v>58552.25</v>
      </c>
      <c r="X157" s="257">
        <f>'FY30'!AF157</f>
        <v>59450.75</v>
      </c>
      <c r="Z157" s="257">
        <f>'FY26'!AN157</f>
        <v>113745.28</v>
      </c>
      <c r="AA157" s="257">
        <f>'FY27'!AN157</f>
        <v>118480.14</v>
      </c>
      <c r="AB157" s="257">
        <f>'FY28'!AN157</f>
        <v>122301</v>
      </c>
      <c r="AC157" s="257">
        <f>'FY29'!AN157</f>
        <v>122578.5</v>
      </c>
      <c r="AD157" s="257">
        <f>'FY30'!AN157</f>
        <v>124459.5</v>
      </c>
      <c r="AF157" s="257">
        <f>'FY26'!AV157</f>
        <v>17419.599999999999</v>
      </c>
      <c r="AG157" s="257">
        <f>'FY27'!AV157</f>
        <v>32631.84</v>
      </c>
      <c r="AH157" s="257">
        <f>'FY28'!AV157</f>
        <v>39194.1</v>
      </c>
      <c r="AI157" s="257">
        <f>'FY29'!AV157</f>
        <v>44671.75</v>
      </c>
      <c r="AJ157" s="257">
        <f>'FY30'!AV157</f>
        <v>45655</v>
      </c>
      <c r="AL157" s="257">
        <f>'FY26'!BD157</f>
        <v>6591.2</v>
      </c>
      <c r="AM157" s="257">
        <f>'FY27'!BD157</f>
        <v>8632.26</v>
      </c>
      <c r="AN157" s="257">
        <f>'FY28'!BD157</f>
        <v>8763.3000000000011</v>
      </c>
      <c r="AO157" s="257">
        <f>'FY29'!BD157</f>
        <v>8895.25</v>
      </c>
      <c r="AP157" s="257">
        <f>'FY30'!BD157</f>
        <v>9031.75</v>
      </c>
      <c r="AR157" s="257">
        <f>'FY26'!BL157</f>
        <v>0</v>
      </c>
      <c r="AS157" s="257">
        <f>'FY27'!BL157</f>
        <v>0</v>
      </c>
      <c r="AT157" s="257">
        <f>'FY28'!BL157</f>
        <v>0</v>
      </c>
      <c r="AU157" s="257">
        <f>'FY29'!BL157</f>
        <v>0</v>
      </c>
      <c r="AV157" s="257">
        <f>'FY30'!BL157</f>
        <v>0</v>
      </c>
      <c r="AX157" s="257">
        <f>'FY26'!BT157</f>
        <v>401874.87999999995</v>
      </c>
      <c r="AY157" s="257">
        <f>'FY27'!BT157</f>
        <v>428624.91000000003</v>
      </c>
      <c r="AZ157" s="257">
        <f>'FY28'!BT157</f>
        <v>443220.75</v>
      </c>
      <c r="BA157" s="257">
        <f>'FY29'!BT157</f>
        <v>453217.875</v>
      </c>
      <c r="BB157" s="257">
        <f>'FY30'!BT157</f>
        <v>460470.375</v>
      </c>
    </row>
    <row r="158" spans="1:54" x14ac:dyDescent="0.25">
      <c r="A158" s="212" t="s">
        <v>267</v>
      </c>
      <c r="B158" s="257">
        <f>'FY26'!H158</f>
        <v>0</v>
      </c>
      <c r="C158" s="257">
        <f>'FY27'!H158</f>
        <v>0</v>
      </c>
      <c r="D158" s="257">
        <f>'FY28'!H158</f>
        <v>0</v>
      </c>
      <c r="E158" s="257">
        <f>'FY29'!H158</f>
        <v>0</v>
      </c>
      <c r="F158" s="257">
        <f>'FY30'!H158</f>
        <v>0</v>
      </c>
      <c r="H158" s="257">
        <f>'FY26'!P158</f>
        <v>0</v>
      </c>
      <c r="I158" s="257">
        <f>'FY27'!P158</f>
        <v>0</v>
      </c>
      <c r="J158" s="257">
        <f>'FY28'!P158</f>
        <v>0</v>
      </c>
      <c r="K158" s="257">
        <f>'FY29'!P158</f>
        <v>0</v>
      </c>
      <c r="L158" s="257">
        <f>'FY30'!P158</f>
        <v>0</v>
      </c>
      <c r="N158" s="257">
        <f>'FY26'!X158</f>
        <v>0</v>
      </c>
      <c r="O158" s="257">
        <f>'FY27'!X158</f>
        <v>0</v>
      </c>
      <c r="P158" s="257">
        <f>'FY28'!X158</f>
        <v>0</v>
      </c>
      <c r="Q158" s="257">
        <f>'FY29'!X158</f>
        <v>0</v>
      </c>
      <c r="R158" s="257">
        <f>'FY30'!X158</f>
        <v>0</v>
      </c>
      <c r="T158" s="257">
        <f>'FY26'!AF158</f>
        <v>0</v>
      </c>
      <c r="U158" s="257">
        <f>'FY27'!AF158</f>
        <v>0</v>
      </c>
      <c r="V158" s="257">
        <f>'FY28'!AF158</f>
        <v>0</v>
      </c>
      <c r="W158" s="257">
        <f>'FY29'!AF158</f>
        <v>0</v>
      </c>
      <c r="X158" s="257">
        <f>'FY30'!AF158</f>
        <v>0</v>
      </c>
      <c r="Z158" s="257">
        <f>'FY26'!AN158</f>
        <v>0</v>
      </c>
      <c r="AA158" s="257">
        <f>'FY27'!AN158</f>
        <v>0</v>
      </c>
      <c r="AB158" s="257">
        <f>'FY28'!AN158</f>
        <v>0</v>
      </c>
      <c r="AC158" s="257">
        <f>'FY29'!AN158</f>
        <v>0</v>
      </c>
      <c r="AD158" s="257">
        <f>'FY30'!AN158</f>
        <v>0</v>
      </c>
      <c r="AF158" s="257">
        <f>'FY26'!AV158</f>
        <v>0</v>
      </c>
      <c r="AG158" s="257">
        <f>'FY27'!AV158</f>
        <v>0</v>
      </c>
      <c r="AH158" s="257">
        <f>'FY28'!AV158</f>
        <v>0</v>
      </c>
      <c r="AI158" s="257">
        <f>'FY29'!AV158</f>
        <v>0</v>
      </c>
      <c r="AJ158" s="257">
        <f>'FY30'!AV158</f>
        <v>0</v>
      </c>
      <c r="AL158" s="257">
        <f>'FY26'!BD158</f>
        <v>0</v>
      </c>
      <c r="AM158" s="257">
        <f>'FY27'!BD158</f>
        <v>0</v>
      </c>
      <c r="AN158" s="257">
        <f>'FY28'!BD158</f>
        <v>0</v>
      </c>
      <c r="AO158" s="257">
        <f>'FY29'!BD158</f>
        <v>0</v>
      </c>
      <c r="AP158" s="257">
        <f>'FY30'!BD158</f>
        <v>0</v>
      </c>
      <c r="AR158" s="257">
        <f>'FY26'!BL158</f>
        <v>0</v>
      </c>
      <c r="AS158" s="257">
        <f>'FY27'!BL158</f>
        <v>0</v>
      </c>
      <c r="AT158" s="257">
        <f>'FY28'!BL158</f>
        <v>0</v>
      </c>
      <c r="AU158" s="257">
        <f>'FY29'!BL158</f>
        <v>0</v>
      </c>
      <c r="AV158" s="257">
        <f>'FY30'!BL158</f>
        <v>0</v>
      </c>
      <c r="AX158" s="257">
        <f>'FY26'!BT158</f>
        <v>0</v>
      </c>
      <c r="AY158" s="257">
        <f>'FY27'!BT158</f>
        <v>0</v>
      </c>
      <c r="AZ158" s="257">
        <f>'FY28'!BT158</f>
        <v>0</v>
      </c>
      <c r="BA158" s="257">
        <f>'FY29'!BT158</f>
        <v>0</v>
      </c>
      <c r="BB158" s="257">
        <f>'FY30'!BT158</f>
        <v>0</v>
      </c>
    </row>
    <row r="159" spans="1:54" x14ac:dyDescent="0.25">
      <c r="A159" s="213"/>
      <c r="B159" s="258">
        <f>'FY26'!H159</f>
        <v>579915.60000000009</v>
      </c>
      <c r="C159" s="258">
        <f>'FY27'!H159</f>
        <v>599280.22</v>
      </c>
      <c r="D159" s="258">
        <f>'FY28'!H159</f>
        <v>607110.20000000007</v>
      </c>
      <c r="E159" s="258">
        <f>'FY29'!H159</f>
        <v>614952.95200000005</v>
      </c>
      <c r="F159" s="258">
        <f>'FY30'!H159</f>
        <v>622845.62604</v>
      </c>
      <c r="H159" s="258">
        <f>'FY26'!P159</f>
        <v>800796.76</v>
      </c>
      <c r="I159" s="258">
        <f>'FY27'!P159</f>
        <v>836303.04</v>
      </c>
      <c r="J159" s="258">
        <f>'FY28'!P159</f>
        <v>856758.45</v>
      </c>
      <c r="K159" s="258">
        <f>'FY29'!P159</f>
        <v>877259.85749999993</v>
      </c>
      <c r="L159" s="258">
        <f>'FY30'!P159</f>
        <v>897908.44822499994</v>
      </c>
      <c r="N159" s="258">
        <f>'FY26'!X159</f>
        <v>366534.80000000005</v>
      </c>
      <c r="O159" s="258">
        <f>'FY27'!X159</f>
        <v>377615.80000000005</v>
      </c>
      <c r="P159" s="258">
        <f>'FY28'!X159</f>
        <v>386256.8</v>
      </c>
      <c r="Q159" s="258">
        <f>'FY29'!X159</f>
        <v>394913.45600000001</v>
      </c>
      <c r="R159" s="258">
        <f>'FY30'!X159</f>
        <v>403627.07511999999</v>
      </c>
      <c r="T159" s="258">
        <f>'FY26'!AF159</f>
        <v>299130.44</v>
      </c>
      <c r="U159" s="258">
        <f>'FY27'!AF159</f>
        <v>314317.28000000003</v>
      </c>
      <c r="V159" s="258">
        <f>'FY28'!AF159</f>
        <v>323855.2</v>
      </c>
      <c r="W159" s="258">
        <f>'FY29'!AF159</f>
        <v>333410.45600000001</v>
      </c>
      <c r="X159" s="258">
        <f>'FY30'!AF159</f>
        <v>343031.07511999999</v>
      </c>
      <c r="Z159" s="258">
        <f>'FY26'!AN159</f>
        <v>798030.56</v>
      </c>
      <c r="AA159" s="258">
        <f>'FY27'!AN159</f>
        <v>852060.28</v>
      </c>
      <c r="AB159" s="258">
        <f>'FY28'!AN159</f>
        <v>885709.55</v>
      </c>
      <c r="AC159" s="258">
        <f>'FY29'!AN159</f>
        <v>891335.17650000006</v>
      </c>
      <c r="AD159" s="258">
        <f>'FY30'!AN159</f>
        <v>910733.34003000008</v>
      </c>
      <c r="AF159" s="258">
        <f>'FY26'!AV159</f>
        <v>315324.19999999995</v>
      </c>
      <c r="AG159" s="258">
        <f>'FY27'!AV159</f>
        <v>425008.68000000005</v>
      </c>
      <c r="AH159" s="258">
        <f>'FY28'!AV159</f>
        <v>507923.19999999995</v>
      </c>
      <c r="AI159" s="258">
        <f>'FY29'!AV159</f>
        <v>579499.35</v>
      </c>
      <c r="AJ159" s="258">
        <f>'FY30'!AV159</f>
        <v>591003.76699999999</v>
      </c>
      <c r="AL159" s="258">
        <f>'FY26'!BD159</f>
        <v>275427.40000000002</v>
      </c>
      <c r="AM159" s="258">
        <f>'FY27'!BD159</f>
        <v>366989.52</v>
      </c>
      <c r="AN159" s="258">
        <f>'FY28'!BD159</f>
        <v>380448.3</v>
      </c>
      <c r="AO159" s="258">
        <f>'FY29'!BD159</f>
        <v>394830.951</v>
      </c>
      <c r="AP159" s="258">
        <f>'FY30'!BD159</f>
        <v>408183.06001999998</v>
      </c>
      <c r="AR159" s="258">
        <f>'FY26'!BL159</f>
        <v>0</v>
      </c>
      <c r="AS159" s="258">
        <f>'FY27'!BL159</f>
        <v>0</v>
      </c>
      <c r="AT159" s="258">
        <f>'FY28'!BL159</f>
        <v>0</v>
      </c>
      <c r="AU159" s="258">
        <f>'FY29'!BL159</f>
        <v>0</v>
      </c>
      <c r="AV159" s="258">
        <f>'FY30'!BL159</f>
        <v>0</v>
      </c>
      <c r="AX159" s="258">
        <f>'FY26'!BT159</f>
        <v>3435159.76</v>
      </c>
      <c r="AY159" s="258">
        <f>'FY27'!BT159</f>
        <v>3771574.8200000003</v>
      </c>
      <c r="AZ159" s="258">
        <f>'FY28'!BT159</f>
        <v>3948061.7</v>
      </c>
      <c r="BA159" s="258">
        <f>'FY29'!BT159</f>
        <v>4086202.199</v>
      </c>
      <c r="BB159" s="258">
        <f>'FY30'!BT159</f>
        <v>4177332.3915550001</v>
      </c>
    </row>
    <row r="160" spans="1:54" x14ac:dyDescent="0.25">
      <c r="B160" s="259">
        <f>'FY26'!H160</f>
        <v>0</v>
      </c>
      <c r="C160" s="259">
        <f>'FY27'!H160</f>
        <v>0</v>
      </c>
      <c r="D160" s="259">
        <f>'FY28'!H160</f>
        <v>0</v>
      </c>
      <c r="E160" s="259">
        <f>'FY29'!H160</f>
        <v>0</v>
      </c>
      <c r="F160" s="259">
        <f>'FY30'!H160</f>
        <v>0</v>
      </c>
      <c r="H160" s="259">
        <f>'FY26'!P160</f>
        <v>0</v>
      </c>
      <c r="I160" s="259">
        <f>'FY27'!P160</f>
        <v>0</v>
      </c>
      <c r="J160" s="259">
        <f>'FY28'!P160</f>
        <v>0</v>
      </c>
      <c r="K160" s="259">
        <f>'FY29'!P160</f>
        <v>0</v>
      </c>
      <c r="L160" s="259">
        <f>'FY30'!P160</f>
        <v>0</v>
      </c>
      <c r="N160" s="259">
        <f>'FY26'!X160</f>
        <v>0</v>
      </c>
      <c r="O160" s="259">
        <f>'FY27'!X160</f>
        <v>0</v>
      </c>
      <c r="P160" s="259">
        <f>'FY28'!X160</f>
        <v>0</v>
      </c>
      <c r="Q160" s="259">
        <f>'FY29'!X160</f>
        <v>0</v>
      </c>
      <c r="R160" s="259">
        <f>'FY30'!X160</f>
        <v>0</v>
      </c>
      <c r="T160" s="259">
        <f>'FY26'!AF160</f>
        <v>0</v>
      </c>
      <c r="U160" s="259">
        <f>'FY27'!AF160</f>
        <v>0</v>
      </c>
      <c r="V160" s="259">
        <f>'FY28'!AF160</f>
        <v>0</v>
      </c>
      <c r="W160" s="259">
        <f>'FY29'!AF160</f>
        <v>0</v>
      </c>
      <c r="X160" s="259">
        <f>'FY30'!AF160</f>
        <v>0</v>
      </c>
      <c r="Z160" s="259">
        <f>'FY26'!AN160</f>
        <v>0</v>
      </c>
      <c r="AA160" s="259">
        <f>'FY27'!AN160</f>
        <v>0</v>
      </c>
      <c r="AB160" s="259">
        <f>'FY28'!AN160</f>
        <v>0</v>
      </c>
      <c r="AC160" s="259">
        <f>'FY29'!AN160</f>
        <v>0</v>
      </c>
      <c r="AD160" s="259">
        <f>'FY30'!AN160</f>
        <v>0</v>
      </c>
      <c r="AF160" s="259">
        <f>'FY26'!AV160</f>
        <v>0</v>
      </c>
      <c r="AG160" s="259">
        <f>'FY27'!AV160</f>
        <v>0</v>
      </c>
      <c r="AH160" s="259">
        <f>'FY28'!AV160</f>
        <v>0</v>
      </c>
      <c r="AI160" s="259">
        <f>'FY29'!AV160</f>
        <v>0</v>
      </c>
      <c r="AJ160" s="259">
        <f>'FY30'!AV160</f>
        <v>0</v>
      </c>
      <c r="AL160" s="259">
        <f>'FY26'!BD160</f>
        <v>0</v>
      </c>
      <c r="AM160" s="259">
        <f>'FY27'!BD160</f>
        <v>0</v>
      </c>
      <c r="AN160" s="259">
        <f>'FY28'!BD160</f>
        <v>0</v>
      </c>
      <c r="AO160" s="259">
        <f>'FY29'!BD160</f>
        <v>0</v>
      </c>
      <c r="AP160" s="259">
        <f>'FY30'!BD160</f>
        <v>0</v>
      </c>
      <c r="AR160" s="259">
        <f>'FY26'!BL160</f>
        <v>0</v>
      </c>
      <c r="AS160" s="259">
        <f>'FY27'!BL160</f>
        <v>0</v>
      </c>
      <c r="AT160" s="259">
        <f>'FY28'!BL160</f>
        <v>0</v>
      </c>
      <c r="AU160" s="259">
        <f>'FY29'!BL160</f>
        <v>0</v>
      </c>
      <c r="AV160" s="259">
        <f>'FY30'!BL160</f>
        <v>0</v>
      </c>
      <c r="AX160" s="259">
        <f>'FY26'!BT160</f>
        <v>0</v>
      </c>
      <c r="AY160" s="259">
        <f>'FY27'!BT160</f>
        <v>0</v>
      </c>
      <c r="AZ160" s="259">
        <f>'FY28'!BT160</f>
        <v>0</v>
      </c>
      <c r="BA160" s="259">
        <f>'FY29'!BT160</f>
        <v>0</v>
      </c>
      <c r="BB160" s="259">
        <f>'FY30'!BT160</f>
        <v>0</v>
      </c>
    </row>
    <row r="161" spans="1:54" x14ac:dyDescent="0.25">
      <c r="A161" s="208" t="s">
        <v>335</v>
      </c>
      <c r="B161" s="260" t="str">
        <f>'FY26'!H161</f>
        <v>Total (25-26)</v>
      </c>
      <c r="C161" s="260" t="str">
        <f>'FY27'!H161</f>
        <v>Horizon</v>
      </c>
      <c r="D161" s="260" t="str">
        <f>'FY28'!H161</f>
        <v>Horizon</v>
      </c>
      <c r="E161" s="260" t="str">
        <f>'FY29'!H161</f>
        <v>Horizon</v>
      </c>
      <c r="F161" s="260" t="str">
        <f>'FY30'!H161</f>
        <v>Horizon</v>
      </c>
      <c r="H161" s="260" t="str">
        <f>'FY26'!P161</f>
        <v>Cadence</v>
      </c>
      <c r="I161" s="260" t="str">
        <f>'FY27'!P161</f>
        <v>Cadence</v>
      </c>
      <c r="J161" s="260" t="str">
        <f>'FY28'!P161</f>
        <v>Cadence</v>
      </c>
      <c r="K161" s="260" t="str">
        <f>'FY29'!P161</f>
        <v>Cadence</v>
      </c>
      <c r="L161" s="260" t="str">
        <f>'FY30'!P161</f>
        <v>Cadence</v>
      </c>
      <c r="N161" s="260" t="str">
        <f>'FY26'!X161</f>
        <v>St. Rose</v>
      </c>
      <c r="O161" s="260" t="str">
        <f>'FY27'!X161</f>
        <v>St. Rose</v>
      </c>
      <c r="P161" s="260" t="str">
        <f>'FY28'!X161</f>
        <v>St. Rose</v>
      </c>
      <c r="Q161" s="260" t="str">
        <f>'FY29'!X161</f>
        <v>St. Rose</v>
      </c>
      <c r="R161" s="260" t="str">
        <f>'FY30'!X161</f>
        <v>St. Rose</v>
      </c>
      <c r="T161" s="260" t="str">
        <f>'FY26'!AF161</f>
        <v>Inspirada</v>
      </c>
      <c r="U161" s="260" t="str">
        <f>'FY27'!AF161</f>
        <v>Inspirada</v>
      </c>
      <c r="V161" s="260" t="str">
        <f>'FY28'!AF161</f>
        <v>Inspirada</v>
      </c>
      <c r="W161" s="260" t="str">
        <f>'FY29'!AF161</f>
        <v>Inspirada</v>
      </c>
      <c r="X161" s="260" t="str">
        <f>'FY30'!AF161</f>
        <v>Inspirada</v>
      </c>
      <c r="Z161" s="260" t="str">
        <f>'FY26'!AN161</f>
        <v>Sloan</v>
      </c>
      <c r="AA161" s="260" t="str">
        <f>'FY27'!AN161</f>
        <v>Sloan</v>
      </c>
      <c r="AB161" s="260" t="str">
        <f>'FY28'!AN161</f>
        <v>Sloan</v>
      </c>
      <c r="AC161" s="260" t="str">
        <f>'FY29'!AN161</f>
        <v>Sloan</v>
      </c>
      <c r="AD161" s="260" t="str">
        <f>'FY30'!AN161</f>
        <v>Sloan</v>
      </c>
      <c r="AF161" s="260" t="str">
        <f>'FY26'!AV161</f>
        <v>Springs</v>
      </c>
      <c r="AG161" s="260" t="str">
        <f>'FY27'!AV161</f>
        <v>Springs</v>
      </c>
      <c r="AH161" s="260" t="str">
        <f>'FY28'!AV161</f>
        <v>Springs</v>
      </c>
      <c r="AI161" s="260" t="str">
        <f>'FY29'!AV161</f>
        <v>Springs</v>
      </c>
      <c r="AJ161" s="260" t="str">
        <f>'FY30'!AV161</f>
        <v>Springs</v>
      </c>
      <c r="AL161" s="260" t="str">
        <f>'FY26'!BD161</f>
        <v>Virtual</v>
      </c>
      <c r="AM161" s="260" t="str">
        <f>'FY27'!BD161</f>
        <v>Virtual</v>
      </c>
      <c r="AN161" s="260" t="str">
        <f>'FY28'!BD161</f>
        <v>Virtual</v>
      </c>
      <c r="AO161" s="260" t="str">
        <f>'FY29'!BD161</f>
        <v>Virtual</v>
      </c>
      <c r="AP161" s="260" t="str">
        <f>'FY30'!BD161</f>
        <v>Virtual</v>
      </c>
      <c r="AR161" s="260" t="str">
        <f>'FY26'!BL161</f>
        <v>Central</v>
      </c>
      <c r="AS161" s="260" t="str">
        <f>'FY27'!BL161</f>
        <v>Central</v>
      </c>
      <c r="AT161" s="260" t="str">
        <f>'FY28'!BL161</f>
        <v>Central</v>
      </c>
      <c r="AU161" s="260" t="str">
        <f>'FY29'!BL161</f>
        <v>Central</v>
      </c>
      <c r="AV161" s="260" t="str">
        <f>'FY30'!BL161</f>
        <v>Central</v>
      </c>
      <c r="AX161" s="260" t="str">
        <f>'FY26'!BT161</f>
        <v>System</v>
      </c>
      <c r="AY161" s="260" t="str">
        <f>'FY27'!BT161</f>
        <v>System</v>
      </c>
      <c r="AZ161" s="260" t="str">
        <f>'FY28'!BT161</f>
        <v>System</v>
      </c>
      <c r="BA161" s="260" t="str">
        <f>'FY29'!BT161</f>
        <v>System</v>
      </c>
      <c r="BB161" s="260" t="str">
        <f>'FY30'!BT161</f>
        <v>System</v>
      </c>
    </row>
    <row r="162" spans="1:54" x14ac:dyDescent="0.25">
      <c r="A162" s="214" t="s">
        <v>262</v>
      </c>
      <c r="B162" s="241">
        <f>'FY26'!H162</f>
        <v>5000</v>
      </c>
      <c r="C162" s="241">
        <f>'FY27'!H162</f>
        <v>5500</v>
      </c>
      <c r="D162" s="241">
        <f>'FY28'!H162</f>
        <v>6000</v>
      </c>
      <c r="E162" s="241">
        <f>'FY29'!H162</f>
        <v>6250</v>
      </c>
      <c r="F162" s="241">
        <f>'FY30'!H162</f>
        <v>6500</v>
      </c>
      <c r="H162" s="241">
        <f>'FY26'!P162</f>
        <v>5000</v>
      </c>
      <c r="I162" s="241">
        <f>'FY27'!P162</f>
        <v>5500</v>
      </c>
      <c r="J162" s="241">
        <f>'FY28'!P162</f>
        <v>6000</v>
      </c>
      <c r="K162" s="241">
        <f>'FY29'!P162</f>
        <v>6500</v>
      </c>
      <c r="L162" s="241">
        <f>'FY30'!P162</f>
        <v>7000</v>
      </c>
      <c r="N162" s="241">
        <f>'FY26'!X162</f>
        <v>5000</v>
      </c>
      <c r="O162" s="241">
        <f>'FY27'!X162</f>
        <v>5500</v>
      </c>
      <c r="P162" s="241">
        <f>'FY28'!X162</f>
        <v>6000</v>
      </c>
      <c r="Q162" s="241">
        <f>'FY29'!X162</f>
        <v>6250</v>
      </c>
      <c r="R162" s="241">
        <f>'FY30'!X162</f>
        <v>6500</v>
      </c>
      <c r="T162" s="241">
        <f>'FY26'!AF162</f>
        <v>5000</v>
      </c>
      <c r="U162" s="241">
        <f>'FY27'!AF162</f>
        <v>5500</v>
      </c>
      <c r="V162" s="241">
        <f>'FY28'!AF162</f>
        <v>6000</v>
      </c>
      <c r="W162" s="241">
        <f>'FY29'!AF162</f>
        <v>6250</v>
      </c>
      <c r="X162" s="241">
        <f>'FY30'!AF162</f>
        <v>6500</v>
      </c>
      <c r="Z162" s="241">
        <f>'FY26'!AN162</f>
        <v>5000</v>
      </c>
      <c r="AA162" s="241">
        <f>'FY27'!AN162</f>
        <v>5500</v>
      </c>
      <c r="AB162" s="241">
        <f>'FY28'!AN162</f>
        <v>6000</v>
      </c>
      <c r="AC162" s="241">
        <f>'FY29'!AN162</f>
        <v>6250</v>
      </c>
      <c r="AD162" s="241">
        <f>'FY30'!AN162</f>
        <v>6500</v>
      </c>
      <c r="AF162" s="241">
        <f>'FY26'!AV162</f>
        <v>0</v>
      </c>
      <c r="AG162" s="241">
        <f>'FY27'!AV162</f>
        <v>0</v>
      </c>
      <c r="AH162" s="241">
        <f>'FY28'!AV162</f>
        <v>2500</v>
      </c>
      <c r="AI162" s="241">
        <f>'FY29'!AV162</f>
        <v>3000</v>
      </c>
      <c r="AJ162" s="241">
        <f>'FY30'!AV162</f>
        <v>3500</v>
      </c>
      <c r="AL162" s="241">
        <f>'FY26'!BD162</f>
        <v>0</v>
      </c>
      <c r="AM162" s="241">
        <f>'FY27'!BD162</f>
        <v>0</v>
      </c>
      <c r="AN162" s="241">
        <f>'FY28'!BD162</f>
        <v>0</v>
      </c>
      <c r="AO162" s="241">
        <f>'FY29'!BD162</f>
        <v>0</v>
      </c>
      <c r="AP162" s="241">
        <f>'FY30'!BD162</f>
        <v>0</v>
      </c>
      <c r="AR162" s="241">
        <f>'FY26'!BL162</f>
        <v>0</v>
      </c>
      <c r="AS162" s="241">
        <f>'FY27'!BL162</f>
        <v>0</v>
      </c>
      <c r="AT162" s="241">
        <f>'FY28'!BL162</f>
        <v>0</v>
      </c>
      <c r="AU162" s="241">
        <f>'FY29'!BL162</f>
        <v>0</v>
      </c>
      <c r="AV162" s="241">
        <f>'FY30'!BL162</f>
        <v>0</v>
      </c>
      <c r="AX162" s="241">
        <f>'FY26'!BT162</f>
        <v>25000</v>
      </c>
      <c r="AY162" s="241">
        <f>'FY27'!BT162</f>
        <v>27500</v>
      </c>
      <c r="AZ162" s="241">
        <f>'FY28'!BT162</f>
        <v>32500</v>
      </c>
      <c r="BA162" s="241">
        <f>'FY29'!BT162</f>
        <v>34500</v>
      </c>
      <c r="BB162" s="241">
        <f>'FY30'!BT162</f>
        <v>36500</v>
      </c>
    </row>
    <row r="163" spans="1:54" x14ac:dyDescent="0.25">
      <c r="A163" s="211" t="s">
        <v>264</v>
      </c>
      <c r="B163" s="241">
        <f>'FY26'!H163</f>
        <v>0</v>
      </c>
      <c r="C163" s="241">
        <f>'FY27'!H163</f>
        <v>0</v>
      </c>
      <c r="D163" s="241">
        <f>'FY28'!H163</f>
        <v>0</v>
      </c>
      <c r="E163" s="241">
        <f>'FY29'!H163</f>
        <v>0</v>
      </c>
      <c r="F163" s="241">
        <f>'FY30'!H163</f>
        <v>0</v>
      </c>
      <c r="H163" s="241">
        <f>'FY26'!P163</f>
        <v>0</v>
      </c>
      <c r="I163" s="241">
        <f>'FY27'!P163</f>
        <v>0</v>
      </c>
      <c r="J163" s="241">
        <f>'FY28'!P163</f>
        <v>0</v>
      </c>
      <c r="K163" s="241">
        <f>'FY29'!P163</f>
        <v>0</v>
      </c>
      <c r="L163" s="241">
        <f>'FY30'!P163</f>
        <v>0</v>
      </c>
      <c r="N163" s="241">
        <f>'FY26'!X163</f>
        <v>34004.880000000005</v>
      </c>
      <c r="O163" s="241">
        <f>'FY27'!X163</f>
        <v>35365.075200000007</v>
      </c>
      <c r="P163" s="241">
        <f>'FY28'!X163</f>
        <v>36426.027456000011</v>
      </c>
      <c r="Q163" s="241">
        <f>'FY29'!X163</f>
        <v>37518.808279680015</v>
      </c>
      <c r="R163" s="241">
        <f>'FY30'!X163</f>
        <v>38644.372528070417</v>
      </c>
      <c r="T163" s="241">
        <f>'FY26'!AF163</f>
        <v>0</v>
      </c>
      <c r="U163" s="241">
        <f>'FY27'!AF163</f>
        <v>0</v>
      </c>
      <c r="V163" s="241">
        <f>'FY28'!AF163</f>
        <v>0</v>
      </c>
      <c r="W163" s="241">
        <f>'FY29'!AF163</f>
        <v>0</v>
      </c>
      <c r="X163" s="241">
        <f>'FY30'!AF163</f>
        <v>0</v>
      </c>
      <c r="Z163" s="241">
        <f>'FY26'!AN163</f>
        <v>0</v>
      </c>
      <c r="AA163" s="241">
        <f>'FY27'!AN163</f>
        <v>0</v>
      </c>
      <c r="AB163" s="241">
        <f>'FY28'!AN163</f>
        <v>0</v>
      </c>
      <c r="AC163" s="241">
        <f>'FY29'!AN163</f>
        <v>0</v>
      </c>
      <c r="AD163" s="241">
        <f>'FY30'!AN163</f>
        <v>0</v>
      </c>
      <c r="AF163" s="241">
        <f>'FY26'!AV163</f>
        <v>0</v>
      </c>
      <c r="AG163" s="241">
        <f>'FY27'!AV163</f>
        <v>0</v>
      </c>
      <c r="AH163" s="241">
        <f>'FY28'!AV163</f>
        <v>0</v>
      </c>
      <c r="AI163" s="241">
        <f>'FY29'!AV163</f>
        <v>0</v>
      </c>
      <c r="AJ163" s="241">
        <f>'FY30'!AV163</f>
        <v>0</v>
      </c>
      <c r="AL163" s="241">
        <f>'FY26'!BD163</f>
        <v>112000</v>
      </c>
      <c r="AM163" s="241">
        <f>'FY27'!BD163</f>
        <v>145600</v>
      </c>
      <c r="AN163" s="241">
        <f>'FY28'!BD163</f>
        <v>145600</v>
      </c>
      <c r="AO163" s="241">
        <f>'FY29'!BD163</f>
        <v>145600</v>
      </c>
      <c r="AP163" s="241">
        <f>'FY30'!BD163</f>
        <v>145600</v>
      </c>
      <c r="AR163" s="241">
        <f>'FY26'!BL163</f>
        <v>0</v>
      </c>
      <c r="AS163" s="241">
        <f>'FY27'!BL163</f>
        <v>0</v>
      </c>
      <c r="AT163" s="241">
        <f>'FY28'!BL163</f>
        <v>0</v>
      </c>
      <c r="AU163" s="241">
        <f>'FY29'!BL163</f>
        <v>0</v>
      </c>
      <c r="AV163" s="241">
        <f>'FY30'!BL163</f>
        <v>0</v>
      </c>
      <c r="AX163" s="241">
        <f>'FY26'!BT163</f>
        <v>146004.88</v>
      </c>
      <c r="AY163" s="241">
        <f>'FY27'!BT163</f>
        <v>180965.07520000002</v>
      </c>
      <c r="AZ163" s="241">
        <f>'FY28'!BT163</f>
        <v>182026.02745600001</v>
      </c>
      <c r="BA163" s="241">
        <f>'FY29'!BT163</f>
        <v>183118.80827968003</v>
      </c>
      <c r="BB163" s="241">
        <f>'FY30'!BT163</f>
        <v>184244.37252807041</v>
      </c>
    </row>
    <row r="164" spans="1:54" x14ac:dyDescent="0.25">
      <c r="A164" s="211" t="s">
        <v>268</v>
      </c>
      <c r="B164" s="241">
        <f>'FY26'!H164</f>
        <v>450450</v>
      </c>
      <c r="C164" s="241">
        <f>'FY27'!H164</f>
        <v>462257.82</v>
      </c>
      <c r="D164" s="241">
        <f>'FY28'!H164</f>
        <v>469284.48</v>
      </c>
      <c r="E164" s="241">
        <f>'FY29'!H164</f>
        <v>476376.02999999997</v>
      </c>
      <c r="F164" s="241">
        <f>'FY30'!H164</f>
        <v>483662.25</v>
      </c>
      <c r="H164" s="241">
        <f>'FY26'!P164</f>
        <v>1230570</v>
      </c>
      <c r="I164" s="241">
        <f>'FY27'!P164</f>
        <v>1253631.24</v>
      </c>
      <c r="J164" s="241">
        <f>'FY28'!P164</f>
        <v>1272687.3600000001</v>
      </c>
      <c r="K164" s="241">
        <f>'FY29'!P164</f>
        <v>1291919.46</v>
      </c>
      <c r="L164" s="241">
        <f>'FY30'!P164</f>
        <v>1311679.5</v>
      </c>
      <c r="N164" s="241">
        <f>'FY26'!X164</f>
        <v>509850</v>
      </c>
      <c r="O164" s="241">
        <f>'FY27'!X164</f>
        <v>513619.80000000005</v>
      </c>
      <c r="P164" s="241">
        <f>'FY28'!X164</f>
        <v>521427.20000000001</v>
      </c>
      <c r="Q164" s="241">
        <f>'FY29'!X164</f>
        <v>529306.69999999995</v>
      </c>
      <c r="R164" s="241">
        <f>'FY30'!X164</f>
        <v>537402.5</v>
      </c>
      <c r="T164" s="241">
        <f>'FY26'!AF164</f>
        <v>586080</v>
      </c>
      <c r="U164" s="241">
        <f>'FY27'!AF164</f>
        <v>597394.68000000005</v>
      </c>
      <c r="V164" s="241">
        <f>'FY28'!AF164</f>
        <v>606475.52000000002</v>
      </c>
      <c r="W164" s="241">
        <f>'FY29'!AF164</f>
        <v>615640.22</v>
      </c>
      <c r="X164" s="241">
        <f>'FY30'!AF164</f>
        <v>625056.5</v>
      </c>
      <c r="Z164" s="241">
        <f>'FY26'!AN164</f>
        <v>1195920</v>
      </c>
      <c r="AA164" s="241">
        <f>'FY27'!AN164</f>
        <v>1245652.6800000002</v>
      </c>
      <c r="AB164" s="241">
        <f>'FY28'!AN164</f>
        <v>1285849.6000000001</v>
      </c>
      <c r="AC164" s="241">
        <f>'FY29'!AN164</f>
        <v>1288836.1199999999</v>
      </c>
      <c r="AD164" s="241">
        <f>'FY30'!AN164</f>
        <v>1308549</v>
      </c>
      <c r="AF164" s="241">
        <f>'FY26'!AV164</f>
        <v>183150</v>
      </c>
      <c r="AG164" s="241">
        <f>'FY27'!AV164</f>
        <v>343078.08</v>
      </c>
      <c r="AH164" s="241">
        <f>'FY28'!AV164</f>
        <v>412079.35999999999</v>
      </c>
      <c r="AI164" s="241">
        <f>'FY29'!AV164</f>
        <v>469695.45999999996</v>
      </c>
      <c r="AJ164" s="241">
        <f>'FY30'!AV164</f>
        <v>480010</v>
      </c>
      <c r="AL164" s="241">
        <f>'FY26'!BD164</f>
        <v>69300</v>
      </c>
      <c r="AM164" s="241">
        <f>'FY27'!BD164</f>
        <v>90756.12000000001</v>
      </c>
      <c r="AN164" s="241">
        <f>'FY28'!BD164</f>
        <v>92135.680000000008</v>
      </c>
      <c r="AO164" s="241">
        <f>'FY29'!BD164</f>
        <v>93527.98</v>
      </c>
      <c r="AP164" s="241">
        <f>'FY30'!BD164</f>
        <v>94958.5</v>
      </c>
      <c r="AR164" s="241">
        <f>'FY26'!BL164</f>
        <v>0</v>
      </c>
      <c r="AS164" s="241">
        <f>'FY27'!BL164</f>
        <v>0</v>
      </c>
      <c r="AT164" s="241">
        <f>'FY28'!BL164</f>
        <v>0</v>
      </c>
      <c r="AU164" s="241">
        <f>'FY29'!BL164</f>
        <v>0</v>
      </c>
      <c r="AV164" s="241">
        <f>'FY30'!BL164</f>
        <v>0</v>
      </c>
      <c r="AX164" s="241">
        <f>'FY26'!BT164</f>
        <v>4225320</v>
      </c>
      <c r="AY164" s="241">
        <f>'FY27'!BT164</f>
        <v>4506390.4200000009</v>
      </c>
      <c r="AZ164" s="241">
        <f>'FY28'!BT164</f>
        <v>4659939.2</v>
      </c>
      <c r="BA164" s="241">
        <f>'FY29'!BT164</f>
        <v>4765301.9700000007</v>
      </c>
      <c r="BB164" s="241">
        <f>'FY30'!BT164</f>
        <v>4841318.25</v>
      </c>
    </row>
    <row r="165" spans="1:54" x14ac:dyDescent="0.25">
      <c r="A165" s="211" t="s">
        <v>269</v>
      </c>
      <c r="B165" s="241">
        <f>'FY26'!H165</f>
        <v>30000</v>
      </c>
      <c r="C165" s="241">
        <f>'FY27'!H165</f>
        <v>30600</v>
      </c>
      <c r="D165" s="241">
        <f>'FY28'!H165</f>
        <v>31212</v>
      </c>
      <c r="E165" s="241">
        <f>'FY29'!H165</f>
        <v>32148.36</v>
      </c>
      <c r="F165" s="241">
        <f>'FY30'!H165</f>
        <v>33112.810799999999</v>
      </c>
      <c r="H165" s="241">
        <f>'FY26'!P165</f>
        <v>68400</v>
      </c>
      <c r="I165" s="241">
        <f>'FY27'!P165</f>
        <v>70452</v>
      </c>
      <c r="J165" s="241">
        <f>'FY28'!P165</f>
        <v>72565.56</v>
      </c>
      <c r="K165" s="241">
        <f>'FY29'!P165</f>
        <v>74742.526799999992</v>
      </c>
      <c r="L165" s="241">
        <f>'FY30'!P165</f>
        <v>76984.802603999997</v>
      </c>
      <c r="N165" s="241">
        <f>'FY26'!X165</f>
        <v>31200</v>
      </c>
      <c r="O165" s="241">
        <f>'FY27'!X165</f>
        <v>32136</v>
      </c>
      <c r="P165" s="241">
        <f>'FY28'!X165</f>
        <v>33100.080000000002</v>
      </c>
      <c r="Q165" s="241">
        <f>'FY29'!X165</f>
        <v>34093.082399999999</v>
      </c>
      <c r="R165" s="241">
        <f>'FY30'!X165</f>
        <v>35115.874872</v>
      </c>
      <c r="T165" s="241">
        <f>'FY26'!AF165</f>
        <v>36000</v>
      </c>
      <c r="U165" s="241">
        <f>'FY27'!AF165</f>
        <v>36720</v>
      </c>
      <c r="V165" s="241">
        <f>'FY28'!AF165</f>
        <v>37454.400000000001</v>
      </c>
      <c r="W165" s="241">
        <f>'FY29'!AF165</f>
        <v>38203.488000000005</v>
      </c>
      <c r="X165" s="241">
        <f>'FY30'!AF165</f>
        <v>38967.557760000003</v>
      </c>
      <c r="Z165" s="241">
        <f>'FY26'!AN165</f>
        <v>68400</v>
      </c>
      <c r="AA165" s="241">
        <f>'FY27'!AN165</f>
        <v>70452</v>
      </c>
      <c r="AB165" s="241">
        <f>'FY28'!AN165</f>
        <v>72565.56</v>
      </c>
      <c r="AC165" s="241">
        <f>'FY29'!AN165</f>
        <v>74742.526799999992</v>
      </c>
      <c r="AD165" s="241">
        <f>'FY30'!AN165</f>
        <v>76984.802603999997</v>
      </c>
      <c r="AF165" s="241">
        <f>'FY26'!AV165</f>
        <v>6000</v>
      </c>
      <c r="AG165" s="241">
        <f>'FY27'!AV165</f>
        <v>20000</v>
      </c>
      <c r="AH165" s="241">
        <f>'FY28'!AV165</f>
        <v>24500</v>
      </c>
      <c r="AI165" s="241">
        <f>'FY29'!AV165</f>
        <v>32000</v>
      </c>
      <c r="AJ165" s="241">
        <f>'FY30'!AV165</f>
        <v>32960</v>
      </c>
      <c r="AL165" s="241">
        <f>'FY26'!BD165</f>
        <v>5500</v>
      </c>
      <c r="AM165" s="241">
        <f>'FY27'!BD165</f>
        <v>5750</v>
      </c>
      <c r="AN165" s="241">
        <f>'FY28'!BD165</f>
        <v>6250</v>
      </c>
      <c r="AO165" s="241">
        <f>'FY29'!BD165</f>
        <v>6750</v>
      </c>
      <c r="AP165" s="241">
        <f>'FY30'!BD165</f>
        <v>7250</v>
      </c>
      <c r="AR165" s="241">
        <f>'FY26'!BL165</f>
        <v>5000</v>
      </c>
      <c r="AS165" s="241">
        <f>'FY27'!BL165</f>
        <v>5500</v>
      </c>
      <c r="AT165" s="241">
        <f>'FY28'!BL165</f>
        <v>6500</v>
      </c>
      <c r="AU165" s="241">
        <f>'FY29'!BL165</f>
        <v>7500</v>
      </c>
      <c r="AV165" s="241">
        <f>'FY30'!BL165</f>
        <v>8000</v>
      </c>
      <c r="AX165" s="241">
        <f>'FY26'!BT165</f>
        <v>250500</v>
      </c>
      <c r="AY165" s="241">
        <f>'FY27'!BT165</f>
        <v>271610</v>
      </c>
      <c r="AZ165" s="241">
        <f>'FY28'!BT165</f>
        <v>284147.59999999998</v>
      </c>
      <c r="BA165" s="241">
        <f>'FY29'!BT165</f>
        <v>300179.984</v>
      </c>
      <c r="BB165" s="241">
        <f>'FY30'!BT165</f>
        <v>309375.84863999998</v>
      </c>
    </row>
    <row r="166" spans="1:54" x14ac:dyDescent="0.25">
      <c r="A166" s="211" t="s">
        <v>270</v>
      </c>
      <c r="B166" s="241">
        <f>'FY26'!H166</f>
        <v>26500</v>
      </c>
      <c r="C166" s="241">
        <f>'FY27'!H166</f>
        <v>27295</v>
      </c>
      <c r="D166" s="241">
        <f>'FY28'!H166</f>
        <v>28113.850000000002</v>
      </c>
      <c r="E166" s="241">
        <f>'FY29'!H166</f>
        <v>28957.265500000001</v>
      </c>
      <c r="F166" s="241">
        <f>'FY30'!H166</f>
        <v>29825.983465000001</v>
      </c>
      <c r="H166" s="241">
        <f>'FY26'!P166</f>
        <v>26500</v>
      </c>
      <c r="I166" s="241">
        <f>'FY27'!P166</f>
        <v>27560</v>
      </c>
      <c r="J166" s="241">
        <f>'FY28'!P166</f>
        <v>28386.799999999999</v>
      </c>
      <c r="K166" s="241">
        <f>'FY29'!P166</f>
        <v>29238.403999999999</v>
      </c>
      <c r="L166" s="241">
        <f>'FY30'!P166</f>
        <v>30115.556120000001</v>
      </c>
      <c r="N166" s="241">
        <f>'FY26'!X166</f>
        <v>26500</v>
      </c>
      <c r="O166" s="241">
        <f>'FY27'!X166</f>
        <v>27295</v>
      </c>
      <c r="P166" s="241">
        <f>'FY28'!X166</f>
        <v>28113.850000000002</v>
      </c>
      <c r="Q166" s="241">
        <f>'FY29'!X166</f>
        <v>28957.265500000001</v>
      </c>
      <c r="R166" s="241">
        <f>'FY30'!X166</f>
        <v>29825.983465000001</v>
      </c>
      <c r="T166" s="241">
        <f>'FY26'!AF166</f>
        <v>26500</v>
      </c>
      <c r="U166" s="241">
        <f>'FY27'!AF166</f>
        <v>27295</v>
      </c>
      <c r="V166" s="241">
        <f>'FY28'!AF166</f>
        <v>28113.850000000002</v>
      </c>
      <c r="W166" s="241">
        <f>'FY29'!AF166</f>
        <v>28957.265500000001</v>
      </c>
      <c r="X166" s="241">
        <f>'FY30'!AF166</f>
        <v>29825.983465000001</v>
      </c>
      <c r="Z166" s="241">
        <f>'FY26'!AN166</f>
        <v>26500</v>
      </c>
      <c r="AA166" s="241">
        <f>'FY27'!AN166</f>
        <v>27295</v>
      </c>
      <c r="AB166" s="241">
        <f>'FY28'!AN166</f>
        <v>28113.850000000002</v>
      </c>
      <c r="AC166" s="241">
        <f>'FY29'!AN166</f>
        <v>28957.265500000001</v>
      </c>
      <c r="AD166" s="241">
        <f>'FY30'!AN166</f>
        <v>29825.983465000001</v>
      </c>
      <c r="AF166" s="241">
        <f>'FY26'!AV166</f>
        <v>5000</v>
      </c>
      <c r="AG166" s="241">
        <f>'FY27'!AV166</f>
        <v>5150</v>
      </c>
      <c r="AH166" s="241">
        <f>'FY28'!AV166</f>
        <v>5304.5</v>
      </c>
      <c r="AI166" s="241">
        <f>'FY29'!AV166</f>
        <v>5463.6350000000002</v>
      </c>
      <c r="AJ166" s="241">
        <f>'FY30'!AV166</f>
        <v>5627.5440500000004</v>
      </c>
      <c r="AL166" s="241">
        <f>'FY26'!BD166</f>
        <v>26500</v>
      </c>
      <c r="AM166" s="241">
        <f>'FY27'!BD166</f>
        <v>27295</v>
      </c>
      <c r="AN166" s="241">
        <f>'FY28'!BD166</f>
        <v>28113.850000000002</v>
      </c>
      <c r="AO166" s="241">
        <f>'FY29'!BD166</f>
        <v>28957.265500000001</v>
      </c>
      <c r="AP166" s="241">
        <f>'FY30'!BD166</f>
        <v>29825.983465000001</v>
      </c>
      <c r="AR166" s="241">
        <f>'FY26'!BL166</f>
        <v>0</v>
      </c>
      <c r="AS166" s="241">
        <f>'FY27'!BL166</f>
        <v>0</v>
      </c>
      <c r="AT166" s="241">
        <f>'FY28'!BL166</f>
        <v>0</v>
      </c>
      <c r="AU166" s="241">
        <f>'FY29'!BL166</f>
        <v>0</v>
      </c>
      <c r="AV166" s="241">
        <f>'FY30'!BL166</f>
        <v>0</v>
      </c>
      <c r="AX166" s="241">
        <f>'FY26'!BT166</f>
        <v>164000</v>
      </c>
      <c r="AY166" s="241">
        <f>'FY27'!BT166</f>
        <v>169185</v>
      </c>
      <c r="AZ166" s="241">
        <f>'FY28'!BT166</f>
        <v>174260.55000000002</v>
      </c>
      <c r="BA166" s="241">
        <f>'FY29'!BT166</f>
        <v>179488.36650000003</v>
      </c>
      <c r="BB166" s="241">
        <f>'FY30'!BT166</f>
        <v>184873.01749500001</v>
      </c>
    </row>
    <row r="167" spans="1:54" x14ac:dyDescent="0.25">
      <c r="A167" s="211" t="s">
        <v>271</v>
      </c>
      <c r="B167" s="241">
        <f>'FY26'!H167</f>
        <v>22500</v>
      </c>
      <c r="C167" s="241">
        <f>'FY27'!H167</f>
        <v>23625</v>
      </c>
      <c r="D167" s="241">
        <f>'FY28'!H167</f>
        <v>24500</v>
      </c>
      <c r="E167" s="241">
        <f>'FY29'!H167</f>
        <v>25500</v>
      </c>
      <c r="F167" s="241">
        <f>'FY30'!H167</f>
        <v>26500</v>
      </c>
      <c r="H167" s="241">
        <f>'FY26'!P167</f>
        <v>40000</v>
      </c>
      <c r="I167" s="241">
        <f>'FY27'!P167</f>
        <v>42000</v>
      </c>
      <c r="J167" s="241">
        <f>'FY28'!P167</f>
        <v>43000</v>
      </c>
      <c r="K167" s="241">
        <f>'FY29'!P167</f>
        <v>44000</v>
      </c>
      <c r="L167" s="241">
        <f>'FY30'!P167</f>
        <v>45000</v>
      </c>
      <c r="N167" s="241">
        <f>'FY26'!X167</f>
        <v>27500</v>
      </c>
      <c r="O167" s="241">
        <f>'FY27'!X167</f>
        <v>28500</v>
      </c>
      <c r="P167" s="241">
        <f>'FY28'!X167</f>
        <v>29500</v>
      </c>
      <c r="Q167" s="241">
        <f>'FY29'!X167</f>
        <v>30500</v>
      </c>
      <c r="R167" s="241">
        <f>'FY30'!X167</f>
        <v>31500</v>
      </c>
      <c r="T167" s="241">
        <f>'FY26'!AF167</f>
        <v>30000</v>
      </c>
      <c r="U167" s="241">
        <f>'FY27'!AF167</f>
        <v>31000</v>
      </c>
      <c r="V167" s="241">
        <f>'FY28'!AF167</f>
        <v>32000</v>
      </c>
      <c r="W167" s="241">
        <f>'FY29'!AF167</f>
        <v>33000</v>
      </c>
      <c r="X167" s="241">
        <f>'FY30'!AF167</f>
        <v>34000</v>
      </c>
      <c r="Z167" s="241">
        <f>'FY26'!AN167</f>
        <v>40000</v>
      </c>
      <c r="AA167" s="241">
        <f>'FY27'!AN167</f>
        <v>41000</v>
      </c>
      <c r="AB167" s="241">
        <f>'FY28'!AN167</f>
        <v>42000</v>
      </c>
      <c r="AC167" s="241">
        <f>'FY29'!AN167</f>
        <v>43000</v>
      </c>
      <c r="AD167" s="241">
        <f>'FY30'!AN167</f>
        <v>44000</v>
      </c>
      <c r="AF167" s="241">
        <f>'FY26'!AV167</f>
        <v>5000</v>
      </c>
      <c r="AG167" s="241">
        <f>'FY27'!AV167</f>
        <v>10000</v>
      </c>
      <c r="AH167" s="241">
        <f>'FY28'!AV167</f>
        <v>13000</v>
      </c>
      <c r="AI167" s="241">
        <f>'FY29'!AV167</f>
        <v>15000</v>
      </c>
      <c r="AJ167" s="241">
        <f>'FY30'!AV167</f>
        <v>16500</v>
      </c>
      <c r="AL167" s="241">
        <f>'FY26'!BD167</f>
        <v>20000</v>
      </c>
      <c r="AM167" s="241">
        <f>'FY27'!BD167</f>
        <v>21000</v>
      </c>
      <c r="AN167" s="241">
        <f>'FY28'!BD167</f>
        <v>22000</v>
      </c>
      <c r="AO167" s="241">
        <f>'FY29'!BD167</f>
        <v>23000</v>
      </c>
      <c r="AP167" s="241">
        <f>'FY30'!BD167</f>
        <v>24000</v>
      </c>
      <c r="AR167" s="241">
        <f>'FY26'!BL167</f>
        <v>0</v>
      </c>
      <c r="AS167" s="241">
        <f>'FY27'!BL167</f>
        <v>0</v>
      </c>
      <c r="AT167" s="241">
        <f>'FY28'!BL167</f>
        <v>0</v>
      </c>
      <c r="AU167" s="241">
        <f>'FY29'!BL167</f>
        <v>0</v>
      </c>
      <c r="AV167" s="241">
        <f>'FY30'!BL167</f>
        <v>0</v>
      </c>
      <c r="AX167" s="241">
        <f>'FY26'!BT167</f>
        <v>185000</v>
      </c>
      <c r="AY167" s="241">
        <f>'FY27'!BT167</f>
        <v>197125</v>
      </c>
      <c r="AZ167" s="241">
        <f>'FY28'!BT167</f>
        <v>206000</v>
      </c>
      <c r="BA167" s="241">
        <f>'FY29'!BT167</f>
        <v>214000</v>
      </c>
      <c r="BB167" s="241">
        <f>'FY30'!BT167</f>
        <v>221500</v>
      </c>
    </row>
    <row r="168" spans="1:54" x14ac:dyDescent="0.25">
      <c r="A168" s="211" t="s">
        <v>272</v>
      </c>
      <c r="B168" s="241">
        <f>'FY26'!H168</f>
        <v>44460</v>
      </c>
      <c r="C168" s="241">
        <f>'FY27'!H168</f>
        <v>46263</v>
      </c>
      <c r="D168" s="241">
        <f>'FY28'!H168</f>
        <v>47190</v>
      </c>
      <c r="E168" s="241">
        <f>'FY29'!H168</f>
        <v>48117</v>
      </c>
      <c r="F168" s="241">
        <f>'FY30'!H168</f>
        <v>49056</v>
      </c>
      <c r="H168" s="241">
        <f>'FY26'!P168</f>
        <v>120108</v>
      </c>
      <c r="I168" s="241">
        <f>'FY27'!P168</f>
        <v>124026</v>
      </c>
      <c r="J168" s="241">
        <f>'FY28'!P168</f>
        <v>126540</v>
      </c>
      <c r="K168" s="241">
        <f>'FY29'!P168</f>
        <v>129054</v>
      </c>
      <c r="L168" s="241">
        <f>'FY30'!P168</f>
        <v>131580</v>
      </c>
      <c r="N168" s="241">
        <f>'FY26'!X168</f>
        <v>50160</v>
      </c>
      <c r="O168" s="241">
        <f>'FY27'!X168</f>
        <v>51250</v>
      </c>
      <c r="P168" s="241">
        <f>'FY28'!X168</f>
        <v>52340</v>
      </c>
      <c r="Q168" s="241">
        <f>'FY29'!X168</f>
        <v>53370</v>
      </c>
      <c r="R168" s="241">
        <f>'FY30'!X168</f>
        <v>54412</v>
      </c>
      <c r="T168" s="241">
        <f>'FY26'!AF168</f>
        <v>57612</v>
      </c>
      <c r="U168" s="241">
        <f>'FY27'!AF168</f>
        <v>59506</v>
      </c>
      <c r="V168" s="241">
        <f>'FY28'!AF168</f>
        <v>60740</v>
      </c>
      <c r="W168" s="241">
        <f>'FY29'!AF168</f>
        <v>61938</v>
      </c>
      <c r="X168" s="241">
        <f>'FY30'!AF168</f>
        <v>63148</v>
      </c>
      <c r="Z168" s="241">
        <f>'FY26'!AN168</f>
        <v>116748</v>
      </c>
      <c r="AA168" s="241">
        <f>'FY27'!AN168</f>
        <v>123206</v>
      </c>
      <c r="AB168" s="241">
        <f>'FY28'!AN168</f>
        <v>127840</v>
      </c>
      <c r="AC168" s="241">
        <f>'FY29'!AN168</f>
        <v>128748</v>
      </c>
      <c r="AD168" s="241">
        <f>'FY30'!AN168</f>
        <v>131268</v>
      </c>
      <c r="AF168" s="241">
        <f>'FY26'!AV168</f>
        <v>18540</v>
      </c>
      <c r="AG168" s="241">
        <f>'FY27'!AV168</f>
        <v>34516</v>
      </c>
      <c r="AH168" s="241">
        <f>'FY28'!AV168</f>
        <v>41540</v>
      </c>
      <c r="AI168" s="241">
        <f>'FY29'!AV168</f>
        <v>47454</v>
      </c>
      <c r="AJ168" s="241">
        <f>'FY30'!AV168</f>
        <v>48692</v>
      </c>
      <c r="AL168" s="241">
        <f>'FY26'!BD168</f>
        <v>7500</v>
      </c>
      <c r="AM168" s="241">
        <f>'FY27'!BD168</f>
        <v>9722</v>
      </c>
      <c r="AN168" s="241">
        <f>'FY28'!BD168</f>
        <v>9940</v>
      </c>
      <c r="AO168" s="241">
        <f>'FY29'!BD168</f>
        <v>10122</v>
      </c>
      <c r="AP168" s="241">
        <f>'FY30'!BD168</f>
        <v>10316</v>
      </c>
      <c r="AR168" s="241">
        <f>'FY26'!BL168</f>
        <v>0</v>
      </c>
      <c r="AS168" s="241">
        <f>'FY27'!BL168</f>
        <v>0</v>
      </c>
      <c r="AT168" s="241">
        <f>'FY28'!BL168</f>
        <v>0</v>
      </c>
      <c r="AU168" s="241">
        <f>'FY29'!BL168</f>
        <v>0</v>
      </c>
      <c r="AV168" s="241">
        <f>'FY30'!BL168</f>
        <v>0</v>
      </c>
      <c r="AX168" s="241">
        <f>'FY26'!BT168</f>
        <v>415128</v>
      </c>
      <c r="AY168" s="241">
        <f>'FY27'!BT168</f>
        <v>448489</v>
      </c>
      <c r="AZ168" s="241">
        <f>'FY28'!BT168</f>
        <v>466130</v>
      </c>
      <c r="BA168" s="241">
        <f>'FY29'!BT168</f>
        <v>478803</v>
      </c>
      <c r="BB168" s="241">
        <f>'FY30'!BT168</f>
        <v>488472</v>
      </c>
    </row>
    <row r="169" spans="1:54" x14ac:dyDescent="0.25">
      <c r="A169" s="211" t="s">
        <v>273</v>
      </c>
      <c r="B169" s="241">
        <f>'FY26'!H169</f>
        <v>20000</v>
      </c>
      <c r="C169" s="241">
        <f>'FY27'!H169</f>
        <v>21000</v>
      </c>
      <c r="D169" s="241">
        <f>'FY28'!H169</f>
        <v>22000</v>
      </c>
      <c r="E169" s="241">
        <f>'FY29'!H169</f>
        <v>22500</v>
      </c>
      <c r="F169" s="241">
        <f>'FY30'!H169</f>
        <v>23500</v>
      </c>
      <c r="H169" s="241">
        <f>'FY26'!P169</f>
        <v>30000</v>
      </c>
      <c r="I169" s="241">
        <f>'FY27'!P169</f>
        <v>35000</v>
      </c>
      <c r="J169" s="241">
        <f>'FY28'!P169</f>
        <v>36000</v>
      </c>
      <c r="K169" s="241">
        <f>'FY29'!P169</f>
        <v>37000</v>
      </c>
      <c r="L169" s="241">
        <f>'FY30'!P169</f>
        <v>38000</v>
      </c>
      <c r="N169" s="241">
        <f>'FY26'!X169</f>
        <v>25000</v>
      </c>
      <c r="O169" s="241">
        <f>'FY27'!X169</f>
        <v>26000</v>
      </c>
      <c r="P169" s="241">
        <f>'FY28'!X169</f>
        <v>26500</v>
      </c>
      <c r="Q169" s="241">
        <f>'FY29'!X169</f>
        <v>26700</v>
      </c>
      <c r="R169" s="241">
        <f>'FY30'!X169</f>
        <v>27000</v>
      </c>
      <c r="T169" s="241">
        <f>'FY26'!AF169</f>
        <v>28000</v>
      </c>
      <c r="U169" s="241">
        <f>'FY27'!AF169</f>
        <v>28000</v>
      </c>
      <c r="V169" s="241">
        <f>'FY28'!AF169</f>
        <v>28500</v>
      </c>
      <c r="W169" s="241">
        <f>'FY29'!AF169</f>
        <v>29000</v>
      </c>
      <c r="X169" s="241">
        <f>'FY30'!AF169</f>
        <v>29500</v>
      </c>
      <c r="Z169" s="241">
        <f>'FY26'!AN169</f>
        <v>40000</v>
      </c>
      <c r="AA169" s="241">
        <f>'FY27'!AN169</f>
        <v>40000</v>
      </c>
      <c r="AB169" s="241">
        <f>'FY28'!AN169</f>
        <v>41000</v>
      </c>
      <c r="AC169" s="241">
        <f>'FY29'!AN169</f>
        <v>42000</v>
      </c>
      <c r="AD169" s="241">
        <f>'FY30'!AN169</f>
        <v>43000</v>
      </c>
      <c r="AF169" s="241">
        <f>'FY26'!AV169</f>
        <v>8500</v>
      </c>
      <c r="AG169" s="241">
        <f>'FY27'!AV169</f>
        <v>25000</v>
      </c>
      <c r="AH169" s="241">
        <f>'FY28'!AV169</f>
        <v>24500</v>
      </c>
      <c r="AI169" s="241">
        <f>'FY29'!AV169</f>
        <v>25000</v>
      </c>
      <c r="AJ169" s="241">
        <f>'FY30'!AV169</f>
        <v>23000</v>
      </c>
      <c r="AL169" s="241">
        <f>'FY26'!BD169</f>
        <v>15500</v>
      </c>
      <c r="AM169" s="241">
        <f>'FY27'!BD169</f>
        <v>15500</v>
      </c>
      <c r="AN169" s="241">
        <f>'FY28'!BD169</f>
        <v>15750</v>
      </c>
      <c r="AO169" s="241">
        <f>'FY29'!BD169</f>
        <v>16000</v>
      </c>
      <c r="AP169" s="241">
        <f>'FY30'!BD169</f>
        <v>17000</v>
      </c>
      <c r="AR169" s="241">
        <f>'FY26'!BL169</f>
        <v>0</v>
      </c>
      <c r="AS169" s="241">
        <f>'FY27'!BL169</f>
        <v>0</v>
      </c>
      <c r="AT169" s="241">
        <f>'FY28'!BL169</f>
        <v>0</v>
      </c>
      <c r="AU169" s="241">
        <f>'FY29'!BL169</f>
        <v>0</v>
      </c>
      <c r="AV169" s="241">
        <f>'FY30'!BL169</f>
        <v>0</v>
      </c>
      <c r="AX169" s="241">
        <f>'FY26'!BT169</f>
        <v>167000</v>
      </c>
      <c r="AY169" s="241">
        <f>'FY27'!BT169</f>
        <v>190500</v>
      </c>
      <c r="AZ169" s="241">
        <f>'FY28'!BT169</f>
        <v>194250</v>
      </c>
      <c r="BA169" s="241">
        <f>'FY29'!BT169</f>
        <v>198200</v>
      </c>
      <c r="BB169" s="241">
        <f>'FY30'!BT169</f>
        <v>201000</v>
      </c>
    </row>
    <row r="170" spans="1:54" x14ac:dyDescent="0.25">
      <c r="A170" s="212" t="s">
        <v>274</v>
      </c>
      <c r="B170" s="241">
        <f>'FY26'!H170</f>
        <v>107107</v>
      </c>
      <c r="C170" s="241">
        <f>'FY27'!H170</f>
        <v>109919.02500000001</v>
      </c>
      <c r="D170" s="241">
        <f>'FY28'!H170</f>
        <v>111587.625</v>
      </c>
      <c r="E170" s="241">
        <f>'FY29'!H170</f>
        <v>113267.8125</v>
      </c>
      <c r="F170" s="241">
        <f>'FY30'!H170</f>
        <v>115005.9375</v>
      </c>
      <c r="H170" s="241">
        <f>'FY26'!P170</f>
        <v>280898.11200000002</v>
      </c>
      <c r="I170" s="241">
        <f>'FY27'!P170</f>
        <v>298097.55</v>
      </c>
      <c r="J170" s="241">
        <f>'FY28'!P170</f>
        <v>302622.75</v>
      </c>
      <c r="K170" s="241">
        <f>'FY29'!P170</f>
        <v>307179.375</v>
      </c>
      <c r="L170" s="241">
        <f>'FY30'!P170</f>
        <v>311893.125</v>
      </c>
      <c r="N170" s="241">
        <f>'FY26'!X170</f>
        <v>116381.76000000001</v>
      </c>
      <c r="O170" s="241">
        <f>'FY27'!X170</f>
        <v>122132.25</v>
      </c>
      <c r="P170" s="241">
        <f>'FY28'!X170</f>
        <v>123986.25</v>
      </c>
      <c r="Q170" s="241">
        <f>'FY29'!X170</f>
        <v>125853.125</v>
      </c>
      <c r="R170" s="241">
        <f>'FY30'!X170</f>
        <v>127784.375</v>
      </c>
      <c r="T170" s="241">
        <f>'FY26'!AF170</f>
        <v>139356.80000000002</v>
      </c>
      <c r="U170" s="241">
        <f>'FY27'!AF170</f>
        <v>142052.85</v>
      </c>
      <c r="V170" s="241">
        <f>'FY28'!AF170</f>
        <v>144209.25</v>
      </c>
      <c r="W170" s="241">
        <f>'FY29'!AF170</f>
        <v>146380.625</v>
      </c>
      <c r="X170" s="241">
        <f>'FY30'!AF170</f>
        <v>148626.875</v>
      </c>
      <c r="Z170" s="241">
        <f>'FY26'!AN170</f>
        <v>272988.67200000002</v>
      </c>
      <c r="AA170" s="241">
        <f>'FY27'!AN170</f>
        <v>296200.35000000003</v>
      </c>
      <c r="AB170" s="241">
        <f>'FY28'!AN170</f>
        <v>305752.5</v>
      </c>
      <c r="AC170" s="241">
        <f>'FY29'!AN170</f>
        <v>306446.25</v>
      </c>
      <c r="AD170" s="241">
        <f>'FY30'!AN170</f>
        <v>311148.75</v>
      </c>
      <c r="AF170" s="241">
        <f>'FY26'!AV170</f>
        <v>43549</v>
      </c>
      <c r="AG170" s="241">
        <f>'FY27'!AV170</f>
        <v>81579.600000000006</v>
      </c>
      <c r="AH170" s="241">
        <f>'FY28'!AV170</f>
        <v>97985.25</v>
      </c>
      <c r="AI170" s="241">
        <f>'FY29'!AV170</f>
        <v>111679.375</v>
      </c>
      <c r="AJ170" s="241">
        <f>'FY30'!AV170</f>
        <v>114137.5</v>
      </c>
      <c r="AL170" s="241">
        <f>'FY26'!BD170</f>
        <v>16478</v>
      </c>
      <c r="AM170" s="241">
        <f>'FY27'!BD170</f>
        <v>21580.65</v>
      </c>
      <c r="AN170" s="241">
        <f>'FY28'!BD170</f>
        <v>21908.25</v>
      </c>
      <c r="AO170" s="241">
        <f>'FY29'!BD170</f>
        <v>22238.125</v>
      </c>
      <c r="AP170" s="241">
        <f>'FY30'!BD170</f>
        <v>22579.375</v>
      </c>
      <c r="AR170" s="241">
        <f>'FY26'!BL170</f>
        <v>0</v>
      </c>
      <c r="AS170" s="241">
        <f>'FY27'!BL170</f>
        <v>0</v>
      </c>
      <c r="AT170" s="241">
        <f>'FY28'!BL170</f>
        <v>0</v>
      </c>
      <c r="AU170" s="241">
        <f>'FY29'!BL170</f>
        <v>0</v>
      </c>
      <c r="AV170" s="241">
        <f>'FY30'!BL170</f>
        <v>0</v>
      </c>
      <c r="AX170" s="241">
        <f>'FY26'!BT170</f>
        <v>976759.34400000004</v>
      </c>
      <c r="AY170" s="241">
        <f>'FY27'!BT170</f>
        <v>1071562.2749999999</v>
      </c>
      <c r="AZ170" s="241">
        <f>'FY28'!BT170</f>
        <v>1108051.875</v>
      </c>
      <c r="BA170" s="241">
        <f>'FY29'!BT170</f>
        <v>1133044.6875</v>
      </c>
      <c r="BB170" s="241">
        <f>'FY30'!BT170</f>
        <v>1151175.9375</v>
      </c>
    </row>
    <row r="171" spans="1:54" x14ac:dyDescent="0.25">
      <c r="A171" s="213"/>
      <c r="B171" s="258">
        <f>'FY26'!H171</f>
        <v>706017</v>
      </c>
      <c r="C171" s="258">
        <f>'FY27'!H171</f>
        <v>726459.84500000009</v>
      </c>
      <c r="D171" s="258">
        <f>'FY28'!H171</f>
        <v>739887.95499999996</v>
      </c>
      <c r="E171" s="258">
        <f>'FY29'!H171</f>
        <v>753116.46799999999</v>
      </c>
      <c r="F171" s="258">
        <f>'FY30'!H171</f>
        <v>767162.98176500003</v>
      </c>
      <c r="H171" s="258">
        <f>'FY26'!P171</f>
        <v>1801476.112</v>
      </c>
      <c r="I171" s="258">
        <f>'FY27'!P171</f>
        <v>1856266.79</v>
      </c>
      <c r="J171" s="258">
        <f>'FY28'!P171</f>
        <v>1887802.4700000002</v>
      </c>
      <c r="K171" s="258">
        <f>'FY29'!P171</f>
        <v>1919633.7658000002</v>
      </c>
      <c r="L171" s="258">
        <f>'FY30'!P171</f>
        <v>1952252.9837240002</v>
      </c>
      <c r="N171" s="258">
        <f>'FY26'!X171</f>
        <v>825596.64</v>
      </c>
      <c r="O171" s="258">
        <f>'FY27'!X171</f>
        <v>841798.12520000001</v>
      </c>
      <c r="P171" s="258">
        <f>'FY28'!X171</f>
        <v>857393.40745599999</v>
      </c>
      <c r="Q171" s="258">
        <f>'FY29'!X171</f>
        <v>872548.98117967986</v>
      </c>
      <c r="R171" s="258">
        <f>'FY30'!X171</f>
        <v>888185.10586507048</v>
      </c>
      <c r="T171" s="258">
        <f>'FY26'!AF171</f>
        <v>908548.8</v>
      </c>
      <c r="U171" s="258">
        <f>'FY27'!AF171</f>
        <v>927468.53</v>
      </c>
      <c r="V171" s="258">
        <f>'FY28'!AF171</f>
        <v>943493.02</v>
      </c>
      <c r="W171" s="258">
        <f>'FY29'!AF171</f>
        <v>959369.59849999996</v>
      </c>
      <c r="X171" s="258">
        <f>'FY30'!AF171</f>
        <v>975624.91622500005</v>
      </c>
      <c r="Z171" s="258">
        <f>'FY26'!AN171</f>
        <v>1765556.672</v>
      </c>
      <c r="AA171" s="258">
        <f>'FY27'!AN171</f>
        <v>1849306.0300000003</v>
      </c>
      <c r="AB171" s="258">
        <f>'FY28'!AN171</f>
        <v>1909121.5100000002</v>
      </c>
      <c r="AC171" s="258">
        <f>'FY29'!AN171</f>
        <v>1918980.1622999997</v>
      </c>
      <c r="AD171" s="258">
        <f>'FY30'!AN171</f>
        <v>1951276.5360690001</v>
      </c>
      <c r="AF171" s="258">
        <f>'FY26'!AV171</f>
        <v>269739</v>
      </c>
      <c r="AG171" s="258">
        <f>'FY27'!AV171</f>
        <v>519323.68000000005</v>
      </c>
      <c r="AH171" s="258">
        <f>'FY28'!AV171</f>
        <v>621409.11</v>
      </c>
      <c r="AI171" s="258">
        <f>'FY29'!AV171</f>
        <v>709292.47</v>
      </c>
      <c r="AJ171" s="258">
        <f>'FY30'!AV171</f>
        <v>724427.04405000003</v>
      </c>
      <c r="AL171" s="258">
        <f>'FY26'!BD171</f>
        <v>272778</v>
      </c>
      <c r="AM171" s="258">
        <f>'FY27'!BD171</f>
        <v>337203.77</v>
      </c>
      <c r="AN171" s="258">
        <f>'FY28'!BD171</f>
        <v>341697.77999999997</v>
      </c>
      <c r="AO171" s="258">
        <f>'FY29'!BD171</f>
        <v>346195.37049999996</v>
      </c>
      <c r="AP171" s="258">
        <f>'FY30'!BD171</f>
        <v>351529.858465</v>
      </c>
      <c r="AR171" s="258">
        <f>'FY26'!BL171</f>
        <v>5000</v>
      </c>
      <c r="AS171" s="258">
        <f>'FY27'!BL171</f>
        <v>5500</v>
      </c>
      <c r="AT171" s="258">
        <f>'FY28'!BL171</f>
        <v>6500</v>
      </c>
      <c r="AU171" s="258">
        <f>'FY29'!BL171</f>
        <v>7500</v>
      </c>
      <c r="AV171" s="258">
        <f>'FY30'!BL171</f>
        <v>8000</v>
      </c>
      <c r="AX171" s="258">
        <f>'FY26'!BT171</f>
        <v>6554712.2239999995</v>
      </c>
      <c r="AY171" s="258">
        <f>'FY27'!BT171</f>
        <v>7063326.7702000011</v>
      </c>
      <c r="AZ171" s="258">
        <f>'FY28'!BT171</f>
        <v>7307305.2524560001</v>
      </c>
      <c r="BA171" s="258">
        <f>'FY29'!BT171</f>
        <v>7486636.8162796814</v>
      </c>
      <c r="BB171" s="258">
        <f>'FY30'!BT171</f>
        <v>7618459.4261630708</v>
      </c>
    </row>
    <row r="172" spans="1:54" x14ac:dyDescent="0.25">
      <c r="B172" s="259">
        <f>'FY26'!H172</f>
        <v>0</v>
      </c>
      <c r="C172" s="259">
        <f>'FY27'!H172</f>
        <v>0</v>
      </c>
      <c r="D172" s="259">
        <f>'FY28'!H172</f>
        <v>0</v>
      </c>
      <c r="E172" s="259">
        <f>'FY29'!H172</f>
        <v>0</v>
      </c>
      <c r="F172" s="259">
        <f>'FY30'!H172</f>
        <v>0</v>
      </c>
      <c r="H172" s="259">
        <f>'FY26'!P172</f>
        <v>0</v>
      </c>
      <c r="I172" s="259">
        <f>'FY27'!P172</f>
        <v>0</v>
      </c>
      <c r="J172" s="259">
        <f>'FY28'!P172</f>
        <v>0</v>
      </c>
      <c r="K172" s="259">
        <f>'FY29'!P172</f>
        <v>0</v>
      </c>
      <c r="L172" s="259">
        <f>'FY30'!P172</f>
        <v>0</v>
      </c>
      <c r="N172" s="259">
        <f>'FY26'!X172</f>
        <v>0</v>
      </c>
      <c r="O172" s="259">
        <f>'FY27'!X172</f>
        <v>0</v>
      </c>
      <c r="P172" s="259">
        <f>'FY28'!X172</f>
        <v>0</v>
      </c>
      <c r="Q172" s="259">
        <f>'FY29'!X172</f>
        <v>0</v>
      </c>
      <c r="R172" s="259">
        <f>'FY30'!X172</f>
        <v>0</v>
      </c>
      <c r="T172" s="259">
        <f>'FY26'!AF172</f>
        <v>0</v>
      </c>
      <c r="U172" s="259">
        <f>'FY27'!AF172</f>
        <v>0</v>
      </c>
      <c r="V172" s="259">
        <f>'FY28'!AF172</f>
        <v>0</v>
      </c>
      <c r="W172" s="259">
        <f>'FY29'!AF172</f>
        <v>0</v>
      </c>
      <c r="X172" s="259">
        <f>'FY30'!AF172</f>
        <v>0</v>
      </c>
      <c r="Z172" s="259">
        <f>'FY26'!AN172</f>
        <v>0</v>
      </c>
      <c r="AA172" s="259">
        <f>'FY27'!AN172</f>
        <v>0</v>
      </c>
      <c r="AB172" s="259">
        <f>'FY28'!AN172</f>
        <v>0</v>
      </c>
      <c r="AC172" s="259">
        <f>'FY29'!AN172</f>
        <v>0</v>
      </c>
      <c r="AD172" s="259">
        <f>'FY30'!AN172</f>
        <v>0</v>
      </c>
      <c r="AF172" s="259">
        <f>'FY26'!AV172</f>
        <v>0</v>
      </c>
      <c r="AG172" s="259">
        <f>'FY27'!AV172</f>
        <v>0</v>
      </c>
      <c r="AH172" s="259">
        <f>'FY28'!AV172</f>
        <v>0</v>
      </c>
      <c r="AI172" s="259">
        <f>'FY29'!AV172</f>
        <v>0</v>
      </c>
      <c r="AJ172" s="259">
        <f>'FY30'!AV172</f>
        <v>0</v>
      </c>
      <c r="AL172" s="259">
        <f>'FY26'!BD172</f>
        <v>0</v>
      </c>
      <c r="AM172" s="259">
        <f>'FY27'!BD172</f>
        <v>0</v>
      </c>
      <c r="AN172" s="259">
        <f>'FY28'!BD172</f>
        <v>0</v>
      </c>
      <c r="AO172" s="259">
        <f>'FY29'!BD172</f>
        <v>0</v>
      </c>
      <c r="AP172" s="259">
        <f>'FY30'!BD172</f>
        <v>0</v>
      </c>
      <c r="AR172" s="259">
        <f>'FY26'!BL172</f>
        <v>0</v>
      </c>
      <c r="AS172" s="259">
        <f>'FY27'!BL172</f>
        <v>0</v>
      </c>
      <c r="AT172" s="259">
        <f>'FY28'!BL172</f>
        <v>0</v>
      </c>
      <c r="AU172" s="259">
        <f>'FY29'!BL172</f>
        <v>0</v>
      </c>
      <c r="AV172" s="259">
        <f>'FY30'!BL172</f>
        <v>0</v>
      </c>
      <c r="AX172" s="259">
        <f>'FY26'!BT172</f>
        <v>0</v>
      </c>
      <c r="AY172" s="259">
        <f>'FY27'!BT172</f>
        <v>0</v>
      </c>
      <c r="AZ172" s="259">
        <f>'FY28'!BT172</f>
        <v>0</v>
      </c>
      <c r="BA172" s="259">
        <f>'FY29'!BT172</f>
        <v>0</v>
      </c>
      <c r="BB172" s="259">
        <f>'FY30'!BT172</f>
        <v>0</v>
      </c>
    </row>
    <row r="173" spans="1:54" x14ac:dyDescent="0.25">
      <c r="A173" s="208" t="s">
        <v>336</v>
      </c>
      <c r="B173" s="260" t="str">
        <f>'FY26'!H173</f>
        <v>Total (25-26)</v>
      </c>
      <c r="C173" s="260" t="str">
        <f>'FY27'!H173</f>
        <v>Horizon</v>
      </c>
      <c r="D173" s="260" t="str">
        <f>'FY28'!H173</f>
        <v>Horizon</v>
      </c>
      <c r="E173" s="260" t="str">
        <f>'FY29'!H173</f>
        <v>Horizon</v>
      </c>
      <c r="F173" s="260" t="str">
        <f>'FY30'!H173</f>
        <v>Horizon</v>
      </c>
      <c r="H173" s="260" t="str">
        <f>'FY26'!P173</f>
        <v>Cadence</v>
      </c>
      <c r="I173" s="260" t="str">
        <f>'FY27'!P173</f>
        <v>Cadence</v>
      </c>
      <c r="J173" s="260" t="str">
        <f>'FY28'!P173</f>
        <v>Cadence</v>
      </c>
      <c r="K173" s="260" t="str">
        <f>'FY29'!P173</f>
        <v>Cadence</v>
      </c>
      <c r="L173" s="260" t="str">
        <f>'FY30'!P173</f>
        <v>Cadence</v>
      </c>
      <c r="N173" s="260" t="str">
        <f>'FY26'!X173</f>
        <v>St. Rose</v>
      </c>
      <c r="O173" s="260" t="str">
        <f>'FY27'!X173</f>
        <v>St. Rose</v>
      </c>
      <c r="P173" s="260" t="str">
        <f>'FY28'!X173</f>
        <v>St. Rose</v>
      </c>
      <c r="Q173" s="260" t="str">
        <f>'FY29'!X173</f>
        <v>St. Rose</v>
      </c>
      <c r="R173" s="260" t="str">
        <f>'FY30'!X173</f>
        <v>St. Rose</v>
      </c>
      <c r="T173" s="260" t="str">
        <f>'FY26'!AF173</f>
        <v>Inspirada</v>
      </c>
      <c r="U173" s="260" t="str">
        <f>'FY27'!AF173</f>
        <v>Inspirada</v>
      </c>
      <c r="V173" s="260" t="str">
        <f>'FY28'!AF173</f>
        <v>Inspirada</v>
      </c>
      <c r="W173" s="260" t="str">
        <f>'FY29'!AF173</f>
        <v>Inspirada</v>
      </c>
      <c r="X173" s="260" t="str">
        <f>'FY30'!AF173</f>
        <v>Inspirada</v>
      </c>
      <c r="Z173" s="260" t="str">
        <f>'FY26'!AN173</f>
        <v>Sloan</v>
      </c>
      <c r="AA173" s="260" t="str">
        <f>'FY27'!AN173</f>
        <v>Sloan</v>
      </c>
      <c r="AB173" s="260" t="str">
        <f>'FY28'!AN173</f>
        <v>Sloan</v>
      </c>
      <c r="AC173" s="260" t="str">
        <f>'FY29'!AN173</f>
        <v>Sloan</v>
      </c>
      <c r="AD173" s="260" t="str">
        <f>'FY30'!AN173</f>
        <v>Sloan</v>
      </c>
      <c r="AF173" s="260" t="str">
        <f>'FY26'!AV173</f>
        <v>Springs</v>
      </c>
      <c r="AG173" s="260" t="str">
        <f>'FY27'!AV173</f>
        <v>Springs</v>
      </c>
      <c r="AH173" s="260" t="str">
        <f>'FY28'!AV173</f>
        <v>Springs</v>
      </c>
      <c r="AI173" s="260" t="str">
        <f>'FY29'!AV173</f>
        <v>Springs</v>
      </c>
      <c r="AJ173" s="260" t="str">
        <f>'FY30'!AV173</f>
        <v>Springs</v>
      </c>
      <c r="AL173" s="260" t="str">
        <f>'FY26'!BD173</f>
        <v>Virtual</v>
      </c>
      <c r="AM173" s="260" t="str">
        <f>'FY27'!BD173</f>
        <v>Virtual</v>
      </c>
      <c r="AN173" s="260" t="str">
        <f>'FY28'!BD173</f>
        <v>Virtual</v>
      </c>
      <c r="AO173" s="260" t="str">
        <f>'FY29'!BD173</f>
        <v>Virtual</v>
      </c>
      <c r="AP173" s="260" t="str">
        <f>'FY30'!BD173</f>
        <v>Virtual</v>
      </c>
      <c r="AR173" s="260" t="str">
        <f>'FY26'!BL173</f>
        <v>Central</v>
      </c>
      <c r="AS173" s="260" t="str">
        <f>'FY27'!BL173</f>
        <v>Central</v>
      </c>
      <c r="AT173" s="260" t="str">
        <f>'FY28'!BL173</f>
        <v>Central</v>
      </c>
      <c r="AU173" s="260" t="str">
        <f>'FY29'!BL173</f>
        <v>Central</v>
      </c>
      <c r="AV173" s="260" t="str">
        <f>'FY30'!BL173</f>
        <v>Central</v>
      </c>
      <c r="AX173" s="260" t="str">
        <f>'FY26'!BT173</f>
        <v>System</v>
      </c>
      <c r="AY173" s="260" t="str">
        <f>'FY27'!BT173</f>
        <v>System</v>
      </c>
      <c r="AZ173" s="260" t="str">
        <f>'FY28'!BT173</f>
        <v>System</v>
      </c>
      <c r="BA173" s="260" t="str">
        <f>'FY29'!BT173</f>
        <v>System</v>
      </c>
      <c r="BB173" s="260" t="str">
        <f>'FY30'!BT173</f>
        <v>System</v>
      </c>
    </row>
    <row r="174" spans="1:54" x14ac:dyDescent="0.25">
      <c r="A174" s="214" t="s">
        <v>275</v>
      </c>
      <c r="B174" s="241">
        <f>'FY26'!H174</f>
        <v>19800</v>
      </c>
      <c r="C174" s="241">
        <f>'FY27'!H174</f>
        <v>20196</v>
      </c>
      <c r="D174" s="241">
        <f>'FY28'!H174</f>
        <v>20498.939999999999</v>
      </c>
      <c r="E174" s="241">
        <f>'FY29'!H174</f>
        <v>20806.424099999997</v>
      </c>
      <c r="F174" s="241">
        <f>'FY30'!H174</f>
        <v>21014.488340999997</v>
      </c>
      <c r="H174" s="241">
        <f>'FY26'!P174</f>
        <v>22200</v>
      </c>
      <c r="I174" s="241">
        <f>'FY27'!P174</f>
        <v>22644</v>
      </c>
      <c r="J174" s="241">
        <f>'FY28'!P174</f>
        <v>22870.44</v>
      </c>
      <c r="K174" s="241">
        <f>'FY29'!P174</f>
        <v>23099.144399999997</v>
      </c>
      <c r="L174" s="241">
        <f>'FY30'!P174</f>
        <v>23330.135843999997</v>
      </c>
      <c r="N174" s="241">
        <f>'FY26'!X174</f>
        <v>15600</v>
      </c>
      <c r="O174" s="241">
        <f>'FY27'!X174</f>
        <v>15912</v>
      </c>
      <c r="P174" s="241">
        <f>'FY28'!X174</f>
        <v>16071.12</v>
      </c>
      <c r="Q174" s="241">
        <f>'FY29'!X174</f>
        <v>16231.831200000001</v>
      </c>
      <c r="R174" s="241">
        <f>'FY30'!X174</f>
        <v>16394.149512</v>
      </c>
      <c r="T174" s="241">
        <f>'FY26'!AF174</f>
        <v>29400</v>
      </c>
      <c r="U174" s="241">
        <f>'FY27'!AF174</f>
        <v>29988</v>
      </c>
      <c r="V174" s="241">
        <f>'FY28'!AF174</f>
        <v>30287.88</v>
      </c>
      <c r="W174" s="241">
        <f>'FY29'!AF174</f>
        <v>30590.7588</v>
      </c>
      <c r="X174" s="241">
        <f>'FY30'!AF174</f>
        <v>30896.666388000001</v>
      </c>
      <c r="Z174" s="241">
        <f>'FY26'!AN174</f>
        <v>20400</v>
      </c>
      <c r="AA174" s="241">
        <f>'FY27'!AN174</f>
        <v>20808</v>
      </c>
      <c r="AB174" s="241">
        <f>'FY28'!AN174</f>
        <v>21016.080000000002</v>
      </c>
      <c r="AC174" s="241">
        <f>'FY29'!AN174</f>
        <v>21226.240800000003</v>
      </c>
      <c r="AD174" s="241">
        <f>'FY30'!AN174</f>
        <v>21438.503208000002</v>
      </c>
      <c r="AF174" s="241">
        <f>'FY26'!AV174</f>
        <v>10800</v>
      </c>
      <c r="AG174" s="241">
        <f>'FY27'!AV174</f>
        <v>12000</v>
      </c>
      <c r="AH174" s="241">
        <f>'FY28'!AV174</f>
        <v>12120</v>
      </c>
      <c r="AI174" s="241">
        <f>'FY29'!AV174</f>
        <v>12241.2</v>
      </c>
      <c r="AJ174" s="241">
        <f>'FY30'!AV174</f>
        <v>12363.612000000001</v>
      </c>
      <c r="AL174" s="241">
        <f>'FY26'!BD174</f>
        <v>0</v>
      </c>
      <c r="AM174" s="241">
        <f>'FY27'!BD174</f>
        <v>0</v>
      </c>
      <c r="AN174" s="241">
        <f>'FY28'!BD174</f>
        <v>0</v>
      </c>
      <c r="AO174" s="241">
        <f>'FY29'!BD174</f>
        <v>0</v>
      </c>
      <c r="AP174" s="241">
        <f>'FY30'!BD174</f>
        <v>0</v>
      </c>
      <c r="AR174" s="241">
        <f>'FY26'!BL174</f>
        <v>0</v>
      </c>
      <c r="AS174" s="241">
        <f>'FY27'!BL174</f>
        <v>0</v>
      </c>
      <c r="AT174" s="241">
        <f>'FY28'!BL174</f>
        <v>0</v>
      </c>
      <c r="AU174" s="241">
        <f>'FY29'!BL174</f>
        <v>0</v>
      </c>
      <c r="AV174" s="241">
        <f>'FY30'!BL174</f>
        <v>0</v>
      </c>
      <c r="AX174" s="241">
        <f>'FY26'!BT174</f>
        <v>118200</v>
      </c>
      <c r="AY174" s="241">
        <f>'FY27'!BT174</f>
        <v>121548</v>
      </c>
      <c r="AZ174" s="241">
        <f>'FY28'!BT174</f>
        <v>122864.46</v>
      </c>
      <c r="BA174" s="241">
        <f>'FY29'!BT174</f>
        <v>124195.59929999999</v>
      </c>
      <c r="BB174" s="241">
        <f>'FY30'!BT174</f>
        <v>125437.55529299998</v>
      </c>
    </row>
    <row r="175" spans="1:54" x14ac:dyDescent="0.25">
      <c r="A175" s="211" t="s">
        <v>276</v>
      </c>
      <c r="B175" s="241">
        <f>'FY26'!H175</f>
        <v>1000</v>
      </c>
      <c r="C175" s="241">
        <f>'FY27'!H175</f>
        <v>1100</v>
      </c>
      <c r="D175" s="241">
        <f>'FY28'!H175</f>
        <v>1200</v>
      </c>
      <c r="E175" s="241">
        <f>'FY29'!H175</f>
        <v>1300</v>
      </c>
      <c r="F175" s="241">
        <f>'FY30'!H175</f>
        <v>1400</v>
      </c>
      <c r="H175" s="241">
        <f>'FY26'!P175</f>
        <v>2000</v>
      </c>
      <c r="I175" s="241">
        <f>'FY27'!P175</f>
        <v>2100</v>
      </c>
      <c r="J175" s="241">
        <f>'FY28'!P175</f>
        <v>2200</v>
      </c>
      <c r="K175" s="241">
        <f>'FY29'!P175</f>
        <v>2350</v>
      </c>
      <c r="L175" s="241">
        <f>'FY30'!P175</f>
        <v>2500</v>
      </c>
      <c r="N175" s="241">
        <f>'FY26'!X175</f>
        <v>1250</v>
      </c>
      <c r="O175" s="241">
        <f>'FY27'!X175</f>
        <v>1350</v>
      </c>
      <c r="P175" s="241">
        <f>'FY28'!X175</f>
        <v>1450</v>
      </c>
      <c r="Q175" s="241">
        <f>'FY29'!X175</f>
        <v>1600</v>
      </c>
      <c r="R175" s="241">
        <f>'FY30'!X175</f>
        <v>1750</v>
      </c>
      <c r="T175" s="241">
        <f>'FY26'!AF175</f>
        <v>1250</v>
      </c>
      <c r="U175" s="241">
        <f>'FY27'!AF175</f>
        <v>1300</v>
      </c>
      <c r="V175" s="241">
        <f>'FY28'!AF175</f>
        <v>1350</v>
      </c>
      <c r="W175" s="241">
        <f>'FY29'!AF175</f>
        <v>1425</v>
      </c>
      <c r="X175" s="241">
        <f>'FY30'!AF175</f>
        <v>1500</v>
      </c>
      <c r="Z175" s="241">
        <f>'FY26'!AN175</f>
        <v>2000</v>
      </c>
      <c r="AA175" s="241">
        <f>'FY27'!AN175</f>
        <v>2100</v>
      </c>
      <c r="AB175" s="241">
        <f>'FY28'!AN175</f>
        <v>2200</v>
      </c>
      <c r="AC175" s="241">
        <f>'FY29'!AN175</f>
        <v>2300</v>
      </c>
      <c r="AD175" s="241">
        <f>'FY30'!AN175</f>
        <v>2400</v>
      </c>
      <c r="AF175" s="241">
        <f>'FY26'!AV175</f>
        <v>1000</v>
      </c>
      <c r="AG175" s="241">
        <f>'FY27'!AV175</f>
        <v>1500</v>
      </c>
      <c r="AH175" s="241">
        <f>'FY28'!AV175</f>
        <v>1650</v>
      </c>
      <c r="AI175" s="241">
        <f>'FY29'!AV175</f>
        <v>1800</v>
      </c>
      <c r="AJ175" s="241">
        <f>'FY30'!AV175</f>
        <v>1950</v>
      </c>
      <c r="AL175" s="241">
        <f>'FY26'!BD175</f>
        <v>2000</v>
      </c>
      <c r="AM175" s="241">
        <f>'FY27'!BD175</f>
        <v>2250</v>
      </c>
      <c r="AN175" s="241">
        <f>'FY28'!BD175</f>
        <v>2500</v>
      </c>
      <c r="AO175" s="241">
        <f>'FY29'!BD175</f>
        <v>2750</v>
      </c>
      <c r="AP175" s="241">
        <f>'FY30'!BD175</f>
        <v>3000</v>
      </c>
      <c r="AR175" s="241">
        <f>'FY26'!BL175</f>
        <v>0</v>
      </c>
      <c r="AS175" s="241">
        <f>'FY27'!BL175</f>
        <v>0</v>
      </c>
      <c r="AT175" s="241">
        <f>'FY28'!BL175</f>
        <v>0</v>
      </c>
      <c r="AU175" s="241">
        <f>'FY29'!BL175</f>
        <v>0</v>
      </c>
      <c r="AV175" s="241">
        <f>'FY30'!BL175</f>
        <v>0</v>
      </c>
      <c r="AX175" s="241">
        <f>'FY26'!BT175</f>
        <v>10500</v>
      </c>
      <c r="AY175" s="241">
        <f>'FY27'!BT175</f>
        <v>11700</v>
      </c>
      <c r="AZ175" s="241">
        <f>'FY28'!BT175</f>
        <v>12550</v>
      </c>
      <c r="BA175" s="241">
        <f>'FY29'!BT175</f>
        <v>13525</v>
      </c>
      <c r="BB175" s="241">
        <f>'FY30'!BT175</f>
        <v>14500</v>
      </c>
    </row>
    <row r="176" spans="1:54" x14ac:dyDescent="0.25">
      <c r="A176" s="211" t="s">
        <v>277</v>
      </c>
      <c r="B176" s="241">
        <f>'FY26'!H176</f>
        <v>5000</v>
      </c>
      <c r="C176" s="241">
        <f>'FY27'!H176</f>
        <v>5500</v>
      </c>
      <c r="D176" s="241">
        <f>'FY28'!H176</f>
        <v>6000</v>
      </c>
      <c r="E176" s="241">
        <f>'FY29'!H176</f>
        <v>6500</v>
      </c>
      <c r="F176" s="241">
        <f>'FY30'!H176</f>
        <v>7000</v>
      </c>
      <c r="H176" s="241">
        <f>'FY26'!P176</f>
        <v>5000</v>
      </c>
      <c r="I176" s="241">
        <f>'FY27'!P176</f>
        <v>5500</v>
      </c>
      <c r="J176" s="241">
        <f>'FY28'!P176</f>
        <v>6000</v>
      </c>
      <c r="K176" s="241">
        <f>'FY29'!P176</f>
        <v>6500</v>
      </c>
      <c r="L176" s="241">
        <f>'FY30'!P176</f>
        <v>7000</v>
      </c>
      <c r="N176" s="241">
        <f>'FY26'!X176</f>
        <v>5000</v>
      </c>
      <c r="O176" s="241">
        <f>'FY27'!X176</f>
        <v>5500</v>
      </c>
      <c r="P176" s="241">
        <f>'FY28'!X176</f>
        <v>6000</v>
      </c>
      <c r="Q176" s="241">
        <f>'FY29'!X176</f>
        <v>6500</v>
      </c>
      <c r="R176" s="241">
        <f>'FY30'!X176</f>
        <v>7000</v>
      </c>
      <c r="T176" s="241">
        <f>'FY26'!AF176</f>
        <v>5000</v>
      </c>
      <c r="U176" s="241">
        <f>'FY27'!AF176</f>
        <v>5500</v>
      </c>
      <c r="V176" s="241">
        <f>'FY28'!AF176</f>
        <v>6000</v>
      </c>
      <c r="W176" s="241">
        <f>'FY29'!AF176</f>
        <v>6500</v>
      </c>
      <c r="X176" s="241">
        <f>'FY30'!AF176</f>
        <v>7000</v>
      </c>
      <c r="Z176" s="241">
        <f>'FY26'!AN176</f>
        <v>5000</v>
      </c>
      <c r="AA176" s="241">
        <f>'FY27'!AN176</f>
        <v>5500</v>
      </c>
      <c r="AB176" s="241">
        <f>'FY28'!AN176</f>
        <v>6000</v>
      </c>
      <c r="AC176" s="241">
        <f>'FY29'!AN176</f>
        <v>6500</v>
      </c>
      <c r="AD176" s="241">
        <f>'FY30'!AN176</f>
        <v>7000</v>
      </c>
      <c r="AF176" s="241">
        <f>'FY26'!AV176</f>
        <v>5000</v>
      </c>
      <c r="AG176" s="241">
        <f>'FY27'!AV176</f>
        <v>5500</v>
      </c>
      <c r="AH176" s="241">
        <f>'FY28'!AV176</f>
        <v>6000</v>
      </c>
      <c r="AI176" s="241">
        <f>'FY29'!AV176</f>
        <v>6500</v>
      </c>
      <c r="AJ176" s="241">
        <f>'FY30'!AV176</f>
        <v>7000</v>
      </c>
      <c r="AL176" s="241">
        <f>'FY26'!BD176</f>
        <v>5000</v>
      </c>
      <c r="AM176" s="241">
        <f>'FY27'!BD176</f>
        <v>5500</v>
      </c>
      <c r="AN176" s="241">
        <f>'FY28'!BD176</f>
        <v>6000</v>
      </c>
      <c r="AO176" s="241">
        <f>'FY29'!BD176</f>
        <v>6500</v>
      </c>
      <c r="AP176" s="241">
        <f>'FY30'!BD176</f>
        <v>7000</v>
      </c>
      <c r="AR176" s="241">
        <f>'FY26'!BL176</f>
        <v>0</v>
      </c>
      <c r="AS176" s="241">
        <f>'FY27'!BL176</f>
        <v>0</v>
      </c>
      <c r="AT176" s="241">
        <f>'FY28'!BL176</f>
        <v>0</v>
      </c>
      <c r="AU176" s="241">
        <f>'FY29'!BL176</f>
        <v>0</v>
      </c>
      <c r="AV176" s="241">
        <f>'FY30'!BL176</f>
        <v>0</v>
      </c>
      <c r="AX176" s="241">
        <f>'FY26'!BT176</f>
        <v>35000</v>
      </c>
      <c r="AY176" s="241">
        <f>'FY27'!BT176</f>
        <v>38500</v>
      </c>
      <c r="AZ176" s="241">
        <f>'FY28'!BT176</f>
        <v>42000</v>
      </c>
      <c r="BA176" s="241">
        <f>'FY29'!BT176</f>
        <v>45500</v>
      </c>
      <c r="BB176" s="241">
        <f>'FY30'!BT176</f>
        <v>49000</v>
      </c>
    </row>
    <row r="177" spans="1:54" x14ac:dyDescent="0.25">
      <c r="A177" s="211" t="s">
        <v>278</v>
      </c>
      <c r="B177" s="241">
        <f>'FY26'!H177</f>
        <v>45000</v>
      </c>
      <c r="C177" s="241">
        <f>'FY27'!H177</f>
        <v>46350</v>
      </c>
      <c r="D177" s="241">
        <f>'FY28'!H177</f>
        <v>47740.5</v>
      </c>
      <c r="E177" s="241">
        <f>'FY29'!H177</f>
        <v>49172.715000000004</v>
      </c>
      <c r="F177" s="241">
        <f>'FY30'!H177</f>
        <v>50647.896450000007</v>
      </c>
      <c r="H177" s="241">
        <f>'FY26'!P177</f>
        <v>100000</v>
      </c>
      <c r="I177" s="241">
        <f>'FY27'!P177</f>
        <v>103000</v>
      </c>
      <c r="J177" s="241">
        <f>'FY28'!P177</f>
        <v>106090</v>
      </c>
      <c r="K177" s="241">
        <f>'FY29'!P177</f>
        <v>109272.7</v>
      </c>
      <c r="L177" s="241">
        <f>'FY30'!P177</f>
        <v>112550.88099999999</v>
      </c>
      <c r="N177" s="241">
        <f>'FY26'!X177</f>
        <v>50000</v>
      </c>
      <c r="O177" s="241">
        <f>'FY27'!X177</f>
        <v>52000</v>
      </c>
      <c r="P177" s="241">
        <f>'FY28'!X177</f>
        <v>53560</v>
      </c>
      <c r="Q177" s="241">
        <f>'FY29'!X177</f>
        <v>55166.8</v>
      </c>
      <c r="R177" s="241">
        <f>'FY30'!X177</f>
        <v>56821.804000000004</v>
      </c>
      <c r="T177" s="241">
        <f>'FY26'!AF177</f>
        <v>60000</v>
      </c>
      <c r="U177" s="241">
        <f>'FY27'!AF177</f>
        <v>61800</v>
      </c>
      <c r="V177" s="241">
        <f>'FY28'!AF177</f>
        <v>63654</v>
      </c>
      <c r="W177" s="241">
        <f>'FY29'!AF177</f>
        <v>65563.62</v>
      </c>
      <c r="X177" s="241">
        <f>'FY30'!AF177</f>
        <v>67530.528599999991</v>
      </c>
      <c r="Z177" s="241">
        <f>'FY26'!AN177</f>
        <v>100000</v>
      </c>
      <c r="AA177" s="241">
        <f>'FY27'!AN177</f>
        <v>103000</v>
      </c>
      <c r="AB177" s="241">
        <f>'FY28'!AN177</f>
        <v>106090</v>
      </c>
      <c r="AC177" s="241">
        <f>'FY29'!AN177</f>
        <v>109272.7</v>
      </c>
      <c r="AD177" s="241">
        <f>'FY30'!AN177</f>
        <v>112550.88099999999</v>
      </c>
      <c r="AF177" s="241">
        <f>'FY26'!AV177</f>
        <v>10000</v>
      </c>
      <c r="AG177" s="241">
        <f>'FY27'!AV177</f>
        <v>30000</v>
      </c>
      <c r="AH177" s="241">
        <f>'FY28'!AV177</f>
        <v>30900</v>
      </c>
      <c r="AI177" s="241">
        <f>'FY29'!AV177</f>
        <v>31827</v>
      </c>
      <c r="AJ177" s="241">
        <f>'FY30'!AV177</f>
        <v>32781.81</v>
      </c>
      <c r="AL177" s="241">
        <f>'FY26'!BD177</f>
        <v>7500</v>
      </c>
      <c r="AM177" s="241">
        <f>'FY27'!BD177</f>
        <v>8000</v>
      </c>
      <c r="AN177" s="241">
        <f>'FY28'!BD177</f>
        <v>8500</v>
      </c>
      <c r="AO177" s="241">
        <f>'FY29'!BD177</f>
        <v>9000</v>
      </c>
      <c r="AP177" s="241">
        <f>'FY30'!BD177</f>
        <v>9500</v>
      </c>
      <c r="AR177" s="241">
        <f>'FY26'!BL177</f>
        <v>0</v>
      </c>
      <c r="AS177" s="241">
        <f>'FY27'!BL177</f>
        <v>0</v>
      </c>
      <c r="AT177" s="241">
        <f>'FY28'!BL177</f>
        <v>0</v>
      </c>
      <c r="AU177" s="241">
        <f>'FY29'!BL177</f>
        <v>0</v>
      </c>
      <c r="AV177" s="241">
        <f>'FY30'!BL177</f>
        <v>0</v>
      </c>
      <c r="AX177" s="241">
        <f>'FY26'!BT177</f>
        <v>372500</v>
      </c>
      <c r="AY177" s="241">
        <f>'FY27'!BT177</f>
        <v>404150</v>
      </c>
      <c r="AZ177" s="241">
        <f>'FY28'!BT177</f>
        <v>416534.5</v>
      </c>
      <c r="BA177" s="241">
        <f>'FY29'!BT177</f>
        <v>429275.53500000003</v>
      </c>
      <c r="BB177" s="241">
        <f>'FY30'!BT177</f>
        <v>442383.80105000001</v>
      </c>
    </row>
    <row r="178" spans="1:54" x14ac:dyDescent="0.25">
      <c r="A178" s="211" t="s">
        <v>279</v>
      </c>
      <c r="B178" s="241">
        <f>'FY26'!H178</f>
        <v>6233.5000000000009</v>
      </c>
      <c r="C178" s="241">
        <f>'FY27'!H178</f>
        <v>6540.4485000000013</v>
      </c>
      <c r="D178" s="241">
        <f>'FY28'!H178</f>
        <v>6671.2574700000014</v>
      </c>
      <c r="E178" s="241">
        <f>'FY29'!H178</f>
        <v>6804.6826194000014</v>
      </c>
      <c r="F178" s="241">
        <f>'FY30'!H178</f>
        <v>6940.7762717880014</v>
      </c>
      <c r="H178" s="241">
        <f>'FY26'!P178</f>
        <v>17029.100000000002</v>
      </c>
      <c r="I178" s="241">
        <f>'FY27'!P178</f>
        <v>17737.527000000002</v>
      </c>
      <c r="J178" s="241">
        <f>'FY28'!P178</f>
        <v>18092.277540000003</v>
      </c>
      <c r="K178" s="241">
        <f>'FY29'!P178</f>
        <v>18454.123090800003</v>
      </c>
      <c r="L178" s="241">
        <f>'FY30'!P178</f>
        <v>18823.205552616004</v>
      </c>
      <c r="N178" s="241">
        <f>'FY26'!X178</f>
        <v>7055.5000000000009</v>
      </c>
      <c r="O178" s="241">
        <f>'FY27'!X178</f>
        <v>7267.1650000000009</v>
      </c>
      <c r="P178" s="241">
        <f>'FY28'!X178</f>
        <v>7412.5083000000013</v>
      </c>
      <c r="Q178" s="241">
        <f>'FY29'!X178</f>
        <v>7560.7584660000011</v>
      </c>
      <c r="R178" s="241">
        <f>'FY30'!X178</f>
        <v>7711.9736353200014</v>
      </c>
      <c r="T178" s="241">
        <f>'FY26'!AF178</f>
        <v>8110.4000000000005</v>
      </c>
      <c r="U178" s="241">
        <f>'FY27'!AF178</f>
        <v>8370.4260000000013</v>
      </c>
      <c r="V178" s="241">
        <f>'FY28'!AF178</f>
        <v>8537.8345200000022</v>
      </c>
      <c r="W178" s="241">
        <f>'FY29'!AF178</f>
        <v>8708.5912104000017</v>
      </c>
      <c r="X178" s="241">
        <f>'FY30'!AF178</f>
        <v>8882.7630346080023</v>
      </c>
      <c r="Z178" s="241">
        <f>'FY26'!AN178</f>
        <v>16549.600000000002</v>
      </c>
      <c r="AA178" s="241">
        <f>'FY27'!AN178</f>
        <v>17453.526000000002</v>
      </c>
      <c r="AB178" s="241">
        <f>'FY28'!AN178</f>
        <v>18101.919600000001</v>
      </c>
      <c r="AC178" s="241">
        <f>'FY29'!AN178</f>
        <v>18231.341198400005</v>
      </c>
      <c r="AD178" s="241">
        <f>'FY30'!AN178</f>
        <v>18595.968022368004</v>
      </c>
      <c r="AF178" s="241">
        <f>'FY26'!AV178</f>
        <v>2534.5</v>
      </c>
      <c r="AG178" s="241">
        <f>'FY27'!AV178</f>
        <v>4807.0560000000005</v>
      </c>
      <c r="AH178" s="241">
        <f>'FY28'!AV178</f>
        <v>5801.1663600000011</v>
      </c>
      <c r="AI178" s="241">
        <f>'FY29'!AV178</f>
        <v>6644.1171672</v>
      </c>
      <c r="AJ178" s="241">
        <f>'FY30'!AV178</f>
        <v>6821.4874723200019</v>
      </c>
      <c r="AL178" s="241">
        <f>'FY26'!BD178</f>
        <v>959.00000000000011</v>
      </c>
      <c r="AM178" s="241">
        <f>'FY27'!BD178</f>
        <v>1259.1670000000001</v>
      </c>
      <c r="AN178" s="241">
        <f>'FY28'!BD178</f>
        <v>1296.9420100000002</v>
      </c>
      <c r="AO178" s="241">
        <f>'FY29'!BD178</f>
        <v>1322.8808502000002</v>
      </c>
      <c r="AP178" s="241">
        <f>'FY30'!BD178</f>
        <v>1362.5672757060001</v>
      </c>
      <c r="AR178" s="241">
        <f>'FY26'!BL178</f>
        <v>0</v>
      </c>
      <c r="AS178" s="241">
        <f>'FY27'!BL178</f>
        <v>0</v>
      </c>
      <c r="AT178" s="241">
        <f>'FY28'!BL178</f>
        <v>0</v>
      </c>
      <c r="AU178" s="241">
        <f>'FY29'!BL178</f>
        <v>0</v>
      </c>
      <c r="AV178" s="241">
        <f>'FY30'!BL178</f>
        <v>0</v>
      </c>
      <c r="AX178" s="241">
        <f>'FY26'!BT178</f>
        <v>58471.600000000006</v>
      </c>
      <c r="AY178" s="241">
        <f>'FY27'!BT178</f>
        <v>63435.315500000012</v>
      </c>
      <c r="AZ178" s="241">
        <f>'FY28'!BT178</f>
        <v>65913.905800000008</v>
      </c>
      <c r="BA178" s="241">
        <f>'FY29'!BT178</f>
        <v>67726.494602400024</v>
      </c>
      <c r="BB178" s="241">
        <f>'FY30'!BT178</f>
        <v>69138.741264726006</v>
      </c>
    </row>
    <row r="179" spans="1:54" x14ac:dyDescent="0.25">
      <c r="A179" s="211" t="s">
        <v>280</v>
      </c>
      <c r="B179" s="241">
        <f>'FY26'!H179</f>
        <v>71000</v>
      </c>
      <c r="C179" s="241">
        <f>'FY27'!H179</f>
        <v>81650</v>
      </c>
      <c r="D179" s="241">
        <f>'FY28'!H179</f>
        <v>91448.000000000015</v>
      </c>
      <c r="E179" s="241">
        <f>'FY29'!H179</f>
        <v>105165.20000000001</v>
      </c>
      <c r="F179" s="241">
        <f>'FY30'!H179</f>
        <v>118836.67600000001</v>
      </c>
      <c r="H179" s="241">
        <f>'FY26'!P179</f>
        <v>194000</v>
      </c>
      <c r="I179" s="241">
        <f>'FY27'!P179</f>
        <v>223099.99999999997</v>
      </c>
      <c r="J179" s="241">
        <f>'FY28'!P179</f>
        <v>249872</v>
      </c>
      <c r="K179" s="241">
        <f>'FY29'!P179</f>
        <v>287352.8</v>
      </c>
      <c r="L179" s="241">
        <f>'FY30'!P179</f>
        <v>324708.66399999993</v>
      </c>
      <c r="N179" s="241">
        <f>'FY26'!X179</f>
        <v>80500</v>
      </c>
      <c r="O179" s="241">
        <f>'FY27'!X179</f>
        <v>92575</v>
      </c>
      <c r="P179" s="241">
        <f>'FY28'!X179</f>
        <v>103684.00000000001</v>
      </c>
      <c r="Q179" s="241">
        <f>'FY29'!X179</f>
        <v>119236.6</v>
      </c>
      <c r="R179" s="241">
        <f>'FY30'!X179</f>
        <v>134737.35800000001</v>
      </c>
      <c r="T179" s="241">
        <f>'FY26'!AF179</f>
        <v>92500</v>
      </c>
      <c r="U179" s="241">
        <f>'FY27'!AF179</f>
        <v>106374.99999999999</v>
      </c>
      <c r="V179" s="241">
        <f>'FY28'!AF179</f>
        <v>119140</v>
      </c>
      <c r="W179" s="241">
        <f>'FY29'!AF179</f>
        <v>137011</v>
      </c>
      <c r="X179" s="241">
        <f>'FY30'!AF179</f>
        <v>154822.43</v>
      </c>
      <c r="Z179" s="241">
        <f>'FY26'!AN179</f>
        <v>188500</v>
      </c>
      <c r="AA179" s="241">
        <f>'FY27'!AN179</f>
        <v>216774.99999999997</v>
      </c>
      <c r="AB179" s="241">
        <f>'FY28'!AN179</f>
        <v>242788</v>
      </c>
      <c r="AC179" s="241">
        <f>'FY29'!AN179</f>
        <v>279206.19999999995</v>
      </c>
      <c r="AD179" s="241">
        <f>'FY30'!AN179</f>
        <v>315503.00599999994</v>
      </c>
      <c r="AF179" s="241">
        <f>'FY26'!AV179</f>
        <v>29000</v>
      </c>
      <c r="AG179" s="241">
        <f>'FY27'!AV179</f>
        <v>65000</v>
      </c>
      <c r="AH179" s="241">
        <f>'FY28'!AV179</f>
        <v>80000</v>
      </c>
      <c r="AI179" s="241">
        <f>'FY29'!AV179</f>
        <v>95000</v>
      </c>
      <c r="AJ179" s="241">
        <f>'FY30'!AV179</f>
        <v>107349.99999999999</v>
      </c>
      <c r="AL179" s="241">
        <f>'FY26'!BD179</f>
        <v>11000</v>
      </c>
      <c r="AM179" s="241">
        <f>'FY27'!BD179</f>
        <v>12649.999999999998</v>
      </c>
      <c r="AN179" s="241">
        <f>'FY28'!BD179</f>
        <v>14168</v>
      </c>
      <c r="AO179" s="241">
        <f>'FY29'!BD179</f>
        <v>16293.199999999999</v>
      </c>
      <c r="AP179" s="241">
        <f>'FY30'!BD179</f>
        <v>18411.315999999995</v>
      </c>
      <c r="AR179" s="241">
        <f>'FY26'!BL179</f>
        <v>0</v>
      </c>
      <c r="AS179" s="241">
        <f>'FY27'!BL179</f>
        <v>0</v>
      </c>
      <c r="AT179" s="241">
        <f>'FY28'!BL179</f>
        <v>0</v>
      </c>
      <c r="AU179" s="241">
        <f>'FY29'!BL179</f>
        <v>0</v>
      </c>
      <c r="AV179" s="241">
        <f>'FY30'!BL179</f>
        <v>0</v>
      </c>
      <c r="AX179" s="241">
        <f>'FY26'!BT179</f>
        <v>666500</v>
      </c>
      <c r="AY179" s="241">
        <f>'FY27'!BT179</f>
        <v>798125</v>
      </c>
      <c r="AZ179" s="241">
        <f>'FY28'!BT179</f>
        <v>901100</v>
      </c>
      <c r="BA179" s="241">
        <f>'FY29'!BT179</f>
        <v>1039264.9999999999</v>
      </c>
      <c r="BB179" s="241">
        <f>'FY30'!BT179</f>
        <v>1174369.4500000002</v>
      </c>
    </row>
    <row r="180" spans="1:54" x14ac:dyDescent="0.25">
      <c r="A180" s="211" t="s">
        <v>281</v>
      </c>
      <c r="B180" s="241">
        <f>'FY26'!H180</f>
        <v>49500</v>
      </c>
      <c r="C180" s="241">
        <f>'FY27'!H180</f>
        <v>50625</v>
      </c>
      <c r="D180" s="241">
        <f>'FY28'!H180</f>
        <v>51750</v>
      </c>
      <c r="E180" s="241">
        <f>'FY29'!H180</f>
        <v>52875</v>
      </c>
      <c r="F180" s="241">
        <f>'FY30'!H180</f>
        <v>54000</v>
      </c>
      <c r="H180" s="241">
        <f>'FY26'!P180</f>
        <v>79200.000000000015</v>
      </c>
      <c r="I180" s="241">
        <f>'FY27'!P180</f>
        <v>81000</v>
      </c>
      <c r="J180" s="241">
        <f>'FY28'!P180</f>
        <v>82799.999999999985</v>
      </c>
      <c r="K180" s="241">
        <f>'FY29'!P180</f>
        <v>84600</v>
      </c>
      <c r="L180" s="241">
        <f>'FY30'!P180</f>
        <v>86400</v>
      </c>
      <c r="N180" s="241">
        <f>'FY26'!X180</f>
        <v>0</v>
      </c>
      <c r="O180" s="241">
        <f>'FY27'!X180</f>
        <v>0</v>
      </c>
      <c r="P180" s="241">
        <f>'FY28'!X180</f>
        <v>0</v>
      </c>
      <c r="Q180" s="241">
        <f>'FY29'!X180</f>
        <v>0</v>
      </c>
      <c r="R180" s="241">
        <f>'FY30'!X180</f>
        <v>0</v>
      </c>
      <c r="T180" s="241">
        <f>'FY26'!AF180</f>
        <v>0</v>
      </c>
      <c r="U180" s="241">
        <f>'FY27'!AF180</f>
        <v>0</v>
      </c>
      <c r="V180" s="241">
        <f>'FY28'!AF180</f>
        <v>0</v>
      </c>
      <c r="W180" s="241">
        <f>'FY29'!AF180</f>
        <v>0</v>
      </c>
      <c r="X180" s="241">
        <f>'FY30'!AF180</f>
        <v>0</v>
      </c>
      <c r="Z180" s="241">
        <f>'FY26'!AN180</f>
        <v>0</v>
      </c>
      <c r="AA180" s="241">
        <f>'FY27'!AN180</f>
        <v>0</v>
      </c>
      <c r="AB180" s="241">
        <f>'FY28'!AN180</f>
        <v>0</v>
      </c>
      <c r="AC180" s="241">
        <f>'FY29'!AN180</f>
        <v>0</v>
      </c>
      <c r="AD180" s="241">
        <f>'FY30'!AN180</f>
        <v>0</v>
      </c>
      <c r="AF180" s="241">
        <f>'FY26'!AV180</f>
        <v>27720</v>
      </c>
      <c r="AG180" s="241">
        <f>'FY27'!AV180</f>
        <v>101250</v>
      </c>
      <c r="AH180" s="241">
        <f>'FY28'!AV180</f>
        <v>103500</v>
      </c>
      <c r="AI180" s="241">
        <f>'FY29'!AV180</f>
        <v>101250</v>
      </c>
      <c r="AJ180" s="241">
        <f>'FY30'!AV180</f>
        <v>103500</v>
      </c>
      <c r="AL180" s="241">
        <f>'FY26'!BD180</f>
        <v>0</v>
      </c>
      <c r="AM180" s="241">
        <f>'FY27'!BD180</f>
        <v>0</v>
      </c>
      <c r="AN180" s="241">
        <f>'FY28'!BD180</f>
        <v>0</v>
      </c>
      <c r="AO180" s="241">
        <f>'FY29'!BD180</f>
        <v>0</v>
      </c>
      <c r="AP180" s="241">
        <f>'FY30'!BD180</f>
        <v>0</v>
      </c>
      <c r="AR180" s="241">
        <f>'FY26'!BL180</f>
        <v>0</v>
      </c>
      <c r="AS180" s="241">
        <f>'FY27'!BL180</f>
        <v>0</v>
      </c>
      <c r="AT180" s="241">
        <f>'FY28'!BL180</f>
        <v>0</v>
      </c>
      <c r="AU180" s="241">
        <f>'FY29'!BL180</f>
        <v>0</v>
      </c>
      <c r="AV180" s="241">
        <f>'FY30'!BL180</f>
        <v>0</v>
      </c>
      <c r="AX180" s="241">
        <f>'FY26'!BT180</f>
        <v>156420</v>
      </c>
      <c r="AY180" s="241">
        <f>'FY27'!BT180</f>
        <v>232875</v>
      </c>
      <c r="AZ180" s="241">
        <f>'FY28'!BT180</f>
        <v>238050</v>
      </c>
      <c r="BA180" s="241">
        <f>'FY29'!BT180</f>
        <v>238725</v>
      </c>
      <c r="BB180" s="241">
        <f>'FY30'!BT180</f>
        <v>243900</v>
      </c>
    </row>
    <row r="181" spans="1:54" x14ac:dyDescent="0.25">
      <c r="A181" s="211" t="s">
        <v>282</v>
      </c>
      <c r="B181" s="241">
        <f>'FY26'!H181</f>
        <v>162000</v>
      </c>
      <c r="C181" s="241">
        <f>'FY27'!H181</f>
        <v>164250</v>
      </c>
      <c r="D181" s="241">
        <f>'FY28'!H181</f>
        <v>166500</v>
      </c>
      <c r="E181" s="241">
        <f>'FY29'!H181</f>
        <v>168750</v>
      </c>
      <c r="F181" s="241">
        <f>'FY30'!H181</f>
        <v>171000</v>
      </c>
      <c r="H181" s="241">
        <f>'FY26'!P181</f>
        <v>340200</v>
      </c>
      <c r="I181" s="241">
        <f>'FY27'!P181</f>
        <v>344925</v>
      </c>
      <c r="J181" s="241">
        <f>'FY28'!P181</f>
        <v>349650</v>
      </c>
      <c r="K181" s="241">
        <f>'FY29'!P181</f>
        <v>354375</v>
      </c>
      <c r="L181" s="241">
        <f>'FY30'!P181</f>
        <v>359100</v>
      </c>
      <c r="N181" s="241">
        <f>'FY26'!X181</f>
        <v>106920</v>
      </c>
      <c r="O181" s="241">
        <f>'FY27'!X181</f>
        <v>108405</v>
      </c>
      <c r="P181" s="241">
        <f>'FY28'!X181</f>
        <v>109890</v>
      </c>
      <c r="Q181" s="241">
        <f>'FY29'!X181</f>
        <v>111375</v>
      </c>
      <c r="R181" s="241">
        <f>'FY30'!X181</f>
        <v>112860</v>
      </c>
      <c r="T181" s="241">
        <f>'FY26'!AF181</f>
        <v>68040</v>
      </c>
      <c r="U181" s="241">
        <f>'FY27'!AF181</f>
        <v>68985</v>
      </c>
      <c r="V181" s="241">
        <f>'FY28'!AF181</f>
        <v>69930</v>
      </c>
      <c r="W181" s="241">
        <f>'FY29'!AF181</f>
        <v>70875</v>
      </c>
      <c r="X181" s="241">
        <f>'FY30'!AF181</f>
        <v>71820</v>
      </c>
      <c r="Z181" s="241">
        <f>'FY26'!AN181</f>
        <v>178200</v>
      </c>
      <c r="AA181" s="241">
        <f>'FY27'!AN181</f>
        <v>180675</v>
      </c>
      <c r="AB181" s="241">
        <f>'FY28'!AN181</f>
        <v>183150</v>
      </c>
      <c r="AC181" s="241">
        <f>'FY29'!AN181</f>
        <v>185625</v>
      </c>
      <c r="AD181" s="241">
        <f>'FY30'!AN181</f>
        <v>188100</v>
      </c>
      <c r="AF181" s="241">
        <f>'FY26'!AV181</f>
        <v>113400</v>
      </c>
      <c r="AG181" s="241">
        <f>'FY27'!AV181</f>
        <v>394200</v>
      </c>
      <c r="AH181" s="241">
        <f>'FY28'!AV181</f>
        <v>399600</v>
      </c>
      <c r="AI181" s="241">
        <f>'FY29'!AV181</f>
        <v>394200</v>
      </c>
      <c r="AJ181" s="241">
        <f>'FY30'!AV181</f>
        <v>399600</v>
      </c>
      <c r="AL181" s="241">
        <f>'FY26'!BD181</f>
        <v>0</v>
      </c>
      <c r="AM181" s="241">
        <f>'FY27'!BD181</f>
        <v>0</v>
      </c>
      <c r="AN181" s="241">
        <f>'FY28'!BD181</f>
        <v>0</v>
      </c>
      <c r="AO181" s="241">
        <f>'FY29'!BD181</f>
        <v>0</v>
      </c>
      <c r="AP181" s="241">
        <f>'FY30'!BD181</f>
        <v>0</v>
      </c>
      <c r="AR181" s="241">
        <f>'FY26'!BL181</f>
        <v>0</v>
      </c>
      <c r="AS181" s="241">
        <f>'FY27'!BL181</f>
        <v>0</v>
      </c>
      <c r="AT181" s="241">
        <f>'FY28'!BL181</f>
        <v>0</v>
      </c>
      <c r="AU181" s="241">
        <f>'FY29'!BL181</f>
        <v>0</v>
      </c>
      <c r="AV181" s="241">
        <f>'FY30'!BL181</f>
        <v>0</v>
      </c>
      <c r="AX181" s="241">
        <f>'FY26'!BT181</f>
        <v>968760</v>
      </c>
      <c r="AY181" s="241">
        <f>'FY27'!BT181</f>
        <v>1261440</v>
      </c>
      <c r="AZ181" s="241">
        <f>'FY28'!BT181</f>
        <v>1278720</v>
      </c>
      <c r="BA181" s="241">
        <f>'FY29'!BT181</f>
        <v>1285200</v>
      </c>
      <c r="BB181" s="241">
        <f>'FY30'!BT181</f>
        <v>1302480</v>
      </c>
    </row>
    <row r="182" spans="1:54" x14ac:dyDescent="0.25">
      <c r="A182" s="211" t="s">
        <v>283</v>
      </c>
      <c r="B182" s="241">
        <f>'FY26'!H182</f>
        <v>7500</v>
      </c>
      <c r="C182" s="241">
        <f>'FY27'!H182</f>
        <v>8000</v>
      </c>
      <c r="D182" s="241">
        <f>'FY28'!H182</f>
        <v>8500</v>
      </c>
      <c r="E182" s="241">
        <f>'FY29'!H182</f>
        <v>9000</v>
      </c>
      <c r="F182" s="241">
        <f>'FY30'!H182</f>
        <v>9500</v>
      </c>
      <c r="H182" s="241">
        <f>'FY26'!P182</f>
        <v>10000</v>
      </c>
      <c r="I182" s="241">
        <f>'FY27'!P182</f>
        <v>12000</v>
      </c>
      <c r="J182" s="241">
        <f>'FY28'!P182</f>
        <v>12250</v>
      </c>
      <c r="K182" s="241">
        <f>'FY29'!P182</f>
        <v>12400</v>
      </c>
      <c r="L182" s="241">
        <f>'FY30'!P182</f>
        <v>12600</v>
      </c>
      <c r="N182" s="241">
        <f>'FY26'!X182</f>
        <v>7500</v>
      </c>
      <c r="O182" s="241">
        <f>'FY27'!X182</f>
        <v>7750</v>
      </c>
      <c r="P182" s="241">
        <f>'FY28'!X182</f>
        <v>7950</v>
      </c>
      <c r="Q182" s="241">
        <f>'FY29'!X182</f>
        <v>8100</v>
      </c>
      <c r="R182" s="241">
        <f>'FY30'!X182</f>
        <v>8200</v>
      </c>
      <c r="T182" s="241">
        <f>'FY26'!AF182</f>
        <v>7500</v>
      </c>
      <c r="U182" s="241">
        <f>'FY27'!AF182</f>
        <v>7750</v>
      </c>
      <c r="V182" s="241">
        <f>'FY28'!AF182</f>
        <v>8000</v>
      </c>
      <c r="W182" s="241">
        <f>'FY29'!AF182</f>
        <v>8250</v>
      </c>
      <c r="X182" s="241">
        <f>'FY30'!AF182</f>
        <v>8500</v>
      </c>
      <c r="Z182" s="241">
        <f>'FY26'!AN182</f>
        <v>7500</v>
      </c>
      <c r="AA182" s="241">
        <f>'FY27'!AN182</f>
        <v>7750</v>
      </c>
      <c r="AB182" s="241">
        <f>'FY28'!AN182</f>
        <v>8000</v>
      </c>
      <c r="AC182" s="241">
        <f>'FY29'!AN182</f>
        <v>8250</v>
      </c>
      <c r="AD182" s="241">
        <f>'FY30'!AN182</f>
        <v>8500</v>
      </c>
      <c r="AF182" s="241">
        <f>'FY26'!AV182</f>
        <v>5000</v>
      </c>
      <c r="AG182" s="241">
        <f>'FY27'!AV182</f>
        <v>10000</v>
      </c>
      <c r="AH182" s="241">
        <f>'FY28'!AV182</f>
        <v>10500</v>
      </c>
      <c r="AI182" s="241">
        <f>'FY29'!AV182</f>
        <v>11000</v>
      </c>
      <c r="AJ182" s="241">
        <f>'FY30'!AV182</f>
        <v>11500</v>
      </c>
      <c r="AL182" s="241">
        <f>'FY26'!BD182</f>
        <v>12500</v>
      </c>
      <c r="AM182" s="241">
        <f>'FY27'!BD182</f>
        <v>13000</v>
      </c>
      <c r="AN182" s="241">
        <f>'FY28'!BD182</f>
        <v>13500</v>
      </c>
      <c r="AO182" s="241">
        <f>'FY29'!BD182</f>
        <v>14000</v>
      </c>
      <c r="AP182" s="241">
        <f>'FY30'!BD182</f>
        <v>14500</v>
      </c>
      <c r="AR182" s="241">
        <f>'FY26'!BL182</f>
        <v>0</v>
      </c>
      <c r="AS182" s="241">
        <f>'FY27'!BL182</f>
        <v>0</v>
      </c>
      <c r="AT182" s="241">
        <f>'FY28'!BL182</f>
        <v>0</v>
      </c>
      <c r="AU182" s="241">
        <f>'FY29'!BL182</f>
        <v>0</v>
      </c>
      <c r="AV182" s="241">
        <f>'FY30'!BL182</f>
        <v>0</v>
      </c>
      <c r="AX182" s="241">
        <f>'FY26'!BT182</f>
        <v>57500</v>
      </c>
      <c r="AY182" s="241">
        <f>'FY27'!BT182</f>
        <v>66250</v>
      </c>
      <c r="AZ182" s="241">
        <f>'FY28'!BT182</f>
        <v>68700</v>
      </c>
      <c r="BA182" s="241">
        <f>'FY29'!BT182</f>
        <v>71000</v>
      </c>
      <c r="BB182" s="241">
        <f>'FY30'!BT182</f>
        <v>73300</v>
      </c>
    </row>
    <row r="183" spans="1:54" x14ac:dyDescent="0.25">
      <c r="A183" s="211" t="s">
        <v>284</v>
      </c>
      <c r="B183" s="241">
        <f>'FY26'!H183</f>
        <v>2000</v>
      </c>
      <c r="C183" s="241">
        <f>'FY27'!H183</f>
        <v>2250</v>
      </c>
      <c r="D183" s="241">
        <f>'FY28'!H183</f>
        <v>2500</v>
      </c>
      <c r="E183" s="241">
        <f>'FY29'!H183</f>
        <v>2700</v>
      </c>
      <c r="F183" s="241">
        <f>'FY30'!H183</f>
        <v>2900</v>
      </c>
      <c r="H183" s="241">
        <f>'FY26'!P183</f>
        <v>2000</v>
      </c>
      <c r="I183" s="241">
        <f>'FY27'!P183</f>
        <v>2300</v>
      </c>
      <c r="J183" s="241">
        <f>'FY28'!P183</f>
        <v>2400</v>
      </c>
      <c r="K183" s="241">
        <f>'FY29'!P183</f>
        <v>2500</v>
      </c>
      <c r="L183" s="241">
        <f>'FY30'!P183</f>
        <v>2600</v>
      </c>
      <c r="N183" s="241">
        <f>'FY26'!X183</f>
        <v>2000</v>
      </c>
      <c r="O183" s="241">
        <f>'FY27'!X183</f>
        <v>2250</v>
      </c>
      <c r="P183" s="241">
        <f>'FY28'!X183</f>
        <v>2400</v>
      </c>
      <c r="Q183" s="241">
        <f>'FY29'!X183</f>
        <v>2500</v>
      </c>
      <c r="R183" s="241">
        <f>'FY30'!X183</f>
        <v>2575</v>
      </c>
      <c r="T183" s="241">
        <f>'FY26'!AF183</f>
        <v>2000</v>
      </c>
      <c r="U183" s="241">
        <f>'FY27'!AF183</f>
        <v>2100</v>
      </c>
      <c r="V183" s="241">
        <f>'FY28'!AF183</f>
        <v>2200</v>
      </c>
      <c r="W183" s="241">
        <f>'FY29'!AF183</f>
        <v>2300</v>
      </c>
      <c r="X183" s="241">
        <f>'FY30'!AF183</f>
        <v>2375</v>
      </c>
      <c r="Z183" s="241">
        <f>'FY26'!AN183</f>
        <v>2500</v>
      </c>
      <c r="AA183" s="241">
        <f>'FY27'!AN183</f>
        <v>2650</v>
      </c>
      <c r="AB183" s="241">
        <f>'FY28'!AN183</f>
        <v>2800</v>
      </c>
      <c r="AC183" s="241">
        <f>'FY29'!AN183</f>
        <v>2900</v>
      </c>
      <c r="AD183" s="241">
        <f>'FY30'!AN183</f>
        <v>3000</v>
      </c>
      <c r="AF183" s="241">
        <f>'FY26'!AV183</f>
        <v>1500</v>
      </c>
      <c r="AG183" s="241">
        <f>'FY27'!AV183</f>
        <v>2000</v>
      </c>
      <c r="AH183" s="241">
        <f>'FY28'!AV183</f>
        <v>2350</v>
      </c>
      <c r="AI183" s="241">
        <f>'FY29'!AV183</f>
        <v>2600</v>
      </c>
      <c r="AJ183" s="241">
        <f>'FY30'!AV183</f>
        <v>2850</v>
      </c>
      <c r="AL183" s="241">
        <f>'FY26'!BD183</f>
        <v>750</v>
      </c>
      <c r="AM183" s="241">
        <f>'FY27'!BD183</f>
        <v>900</v>
      </c>
      <c r="AN183" s="241">
        <f>'FY28'!BD183</f>
        <v>1050</v>
      </c>
      <c r="AO183" s="241">
        <f>'FY29'!BD183</f>
        <v>1250</v>
      </c>
      <c r="AP183" s="241">
        <f>'FY30'!BD183</f>
        <v>1450</v>
      </c>
      <c r="AR183" s="241">
        <f>'FY26'!BL183</f>
        <v>7500</v>
      </c>
      <c r="AS183" s="241">
        <f>'FY27'!BL183</f>
        <v>8500</v>
      </c>
      <c r="AT183" s="241">
        <f>'FY28'!BL183</f>
        <v>9000</v>
      </c>
      <c r="AU183" s="241">
        <f>'FY29'!BL183</f>
        <v>9500</v>
      </c>
      <c r="AV183" s="241">
        <f>'FY30'!BL183</f>
        <v>9750</v>
      </c>
      <c r="AX183" s="241">
        <f>'FY26'!BT183</f>
        <v>20250</v>
      </c>
      <c r="AY183" s="241">
        <f>'FY27'!BT183</f>
        <v>22950</v>
      </c>
      <c r="AZ183" s="241">
        <f>'FY28'!BT183</f>
        <v>24700</v>
      </c>
      <c r="BA183" s="241">
        <f>'FY29'!BT183</f>
        <v>26250</v>
      </c>
      <c r="BB183" s="241">
        <f>'FY30'!BT183</f>
        <v>27500</v>
      </c>
    </row>
    <row r="184" spans="1:54" x14ac:dyDescent="0.25">
      <c r="A184" s="211" t="s">
        <v>285</v>
      </c>
      <c r="B184" s="241">
        <f>'FY26'!H184</f>
        <v>1000</v>
      </c>
      <c r="C184" s="241">
        <f>'FY27'!H184</f>
        <v>1050</v>
      </c>
      <c r="D184" s="241">
        <f>'FY28'!H184</f>
        <v>1100</v>
      </c>
      <c r="E184" s="241">
        <f>'FY29'!H184</f>
        <v>1150</v>
      </c>
      <c r="F184" s="241">
        <f>'FY30'!H184</f>
        <v>1200</v>
      </c>
      <c r="H184" s="241">
        <f>'FY26'!P184</f>
        <v>2000</v>
      </c>
      <c r="I184" s="241">
        <f>'FY27'!P184</f>
        <v>2100</v>
      </c>
      <c r="J184" s="241">
        <f>'FY28'!P184</f>
        <v>2200</v>
      </c>
      <c r="K184" s="241">
        <f>'FY29'!P184</f>
        <v>2300</v>
      </c>
      <c r="L184" s="241">
        <f>'FY30'!P184</f>
        <v>2400</v>
      </c>
      <c r="N184" s="241">
        <f>'FY26'!X184</f>
        <v>1000</v>
      </c>
      <c r="O184" s="241">
        <f>'FY27'!X184</f>
        <v>1100</v>
      </c>
      <c r="P184" s="241">
        <f>'FY28'!X184</f>
        <v>1150</v>
      </c>
      <c r="Q184" s="241">
        <f>'FY29'!X184</f>
        <v>1225</v>
      </c>
      <c r="R184" s="241">
        <f>'FY30'!X184</f>
        <v>1275</v>
      </c>
      <c r="T184" s="241">
        <f>'FY26'!AF184</f>
        <v>1000</v>
      </c>
      <c r="U184" s="241">
        <f>'FY27'!AF184</f>
        <v>1050</v>
      </c>
      <c r="V184" s="241">
        <f>'FY28'!AF184</f>
        <v>1100</v>
      </c>
      <c r="W184" s="241">
        <f>'FY29'!AF184</f>
        <v>1175</v>
      </c>
      <c r="X184" s="241">
        <f>'FY30'!AF184</f>
        <v>1225</v>
      </c>
      <c r="Z184" s="241">
        <f>'FY26'!AN184</f>
        <v>1200</v>
      </c>
      <c r="AA184" s="241">
        <f>'FY27'!AN184</f>
        <v>1250</v>
      </c>
      <c r="AB184" s="241">
        <f>'FY28'!AN184</f>
        <v>1325</v>
      </c>
      <c r="AC184" s="241">
        <f>'FY29'!AN184</f>
        <v>1400</v>
      </c>
      <c r="AD184" s="241">
        <f>'FY30'!AN184</f>
        <v>1475</v>
      </c>
      <c r="AF184" s="241">
        <f>'FY26'!AV184</f>
        <v>500</v>
      </c>
      <c r="AG184" s="241">
        <f>'FY27'!AV184</f>
        <v>1200</v>
      </c>
      <c r="AH184" s="241">
        <f>'FY28'!AV184</f>
        <v>1275</v>
      </c>
      <c r="AI184" s="241">
        <f>'FY29'!AV184</f>
        <v>1350</v>
      </c>
      <c r="AJ184" s="241">
        <f>'FY30'!AV184</f>
        <v>1425</v>
      </c>
      <c r="AL184" s="241">
        <f>'FY26'!BD184</f>
        <v>500</v>
      </c>
      <c r="AM184" s="241">
        <f>'FY27'!BD184</f>
        <v>550</v>
      </c>
      <c r="AN184" s="241">
        <f>'FY28'!BD184</f>
        <v>625</v>
      </c>
      <c r="AO184" s="241">
        <f>'FY29'!BD184</f>
        <v>725</v>
      </c>
      <c r="AP184" s="241">
        <f>'FY30'!BD184</f>
        <v>825</v>
      </c>
      <c r="AR184" s="241">
        <f>'FY26'!BL184</f>
        <v>0</v>
      </c>
      <c r="AS184" s="241">
        <f>'FY27'!BL184</f>
        <v>0</v>
      </c>
      <c r="AT184" s="241">
        <f>'FY28'!BL184</f>
        <v>0</v>
      </c>
      <c r="AU184" s="241">
        <f>'FY29'!BL184</f>
        <v>0</v>
      </c>
      <c r="AV184" s="241">
        <f>'FY30'!BL184</f>
        <v>0</v>
      </c>
      <c r="AX184" s="241">
        <f>'FY26'!BT184</f>
        <v>7200</v>
      </c>
      <c r="AY184" s="241">
        <f>'FY27'!BT184</f>
        <v>8300</v>
      </c>
      <c r="AZ184" s="241">
        <f>'FY28'!BT184</f>
        <v>8775</v>
      </c>
      <c r="BA184" s="241">
        <f>'FY29'!BT184</f>
        <v>9325</v>
      </c>
      <c r="BB184" s="241">
        <f>'FY30'!BT184</f>
        <v>9825</v>
      </c>
    </row>
    <row r="185" spans="1:54" x14ac:dyDescent="0.25">
      <c r="A185" s="211" t="s">
        <v>286</v>
      </c>
      <c r="B185" s="241">
        <f>'FY26'!H185</f>
        <v>15850</v>
      </c>
      <c r="C185" s="241">
        <f>'FY27'!H185</f>
        <v>16968</v>
      </c>
      <c r="D185" s="241">
        <f>'FY28'!H185</f>
        <v>18106.775000000001</v>
      </c>
      <c r="E185" s="241">
        <f>'FY29'!H185</f>
        <v>19266.628699999997</v>
      </c>
      <c r="F185" s="241">
        <f>'FY30'!H185</f>
        <v>20447.868796499999</v>
      </c>
      <c r="H185" s="241">
        <f>'FY26'!P185</f>
        <v>36200</v>
      </c>
      <c r="I185" s="241">
        <f>'FY27'!P185</f>
        <v>39087</v>
      </c>
      <c r="J185" s="241">
        <f>'FY28'!P185</f>
        <v>42028.12</v>
      </c>
      <c r="K185" s="241">
        <f>'FY29'!P185</f>
        <v>45024.153700000003</v>
      </c>
      <c r="L185" s="241">
        <f>'FY30'!P185</f>
        <v>48075.905262000007</v>
      </c>
      <c r="N185" s="241">
        <f>'FY26'!X185</f>
        <v>16550</v>
      </c>
      <c r="O185" s="241">
        <f>'FY27'!X185</f>
        <v>17776</v>
      </c>
      <c r="P185" s="241">
        <f>'FY28'!X185</f>
        <v>19024.865000000002</v>
      </c>
      <c r="Q185" s="241">
        <f>'FY29'!X185</f>
        <v>20296.929700000001</v>
      </c>
      <c r="R185" s="241">
        <f>'FY30'!X185</f>
        <v>21592.533207500001</v>
      </c>
      <c r="T185" s="241">
        <f>'FY26'!AF185</f>
        <v>17600</v>
      </c>
      <c r="U185" s="241">
        <f>'FY27'!AF185</f>
        <v>18988</v>
      </c>
      <c r="V185" s="241">
        <f>'FY28'!AF185</f>
        <v>20402</v>
      </c>
      <c r="W185" s="241">
        <f>'FY29'!AF185</f>
        <v>21842.3812</v>
      </c>
      <c r="X185" s="241">
        <f>'FY30'!AF185</f>
        <v>23309.529824000005</v>
      </c>
      <c r="Z185" s="241">
        <f>'FY26'!AN185</f>
        <v>34000</v>
      </c>
      <c r="AA185" s="241">
        <f>'FY27'!AN185</f>
        <v>37572</v>
      </c>
      <c r="AB185" s="241">
        <f>'FY28'!AN185</f>
        <v>40497.97</v>
      </c>
      <c r="AC185" s="241">
        <f>'FY29'!AN185</f>
        <v>43478.7022</v>
      </c>
      <c r="AD185" s="241">
        <f>'FY30'!AN185</f>
        <v>46514.999247</v>
      </c>
      <c r="AF185" s="241">
        <f>'FY26'!AV185</f>
        <v>6150</v>
      </c>
      <c r="AG185" s="241">
        <f>'FY27'!AV185</f>
        <v>15204</v>
      </c>
      <c r="AH185" s="241">
        <f>'FY28'!AV185</f>
        <v>17196.259999999998</v>
      </c>
      <c r="AI185" s="241">
        <f>'FY29'!AV185</f>
        <v>19028.400000000001</v>
      </c>
      <c r="AJ185" s="241">
        <f>'FY30'!AV185</f>
        <v>20218.382000000001</v>
      </c>
      <c r="AL185" s="241">
        <f>'FY26'!BD185</f>
        <v>6150</v>
      </c>
      <c r="AM185" s="241">
        <f>'FY27'!BD185</f>
        <v>6500</v>
      </c>
      <c r="AN185" s="241">
        <f>'FY28'!BD185</f>
        <v>6850</v>
      </c>
      <c r="AO185" s="241">
        <f>'FY29'!BD185</f>
        <v>7200</v>
      </c>
      <c r="AP185" s="241">
        <f>'FY30'!BD185</f>
        <v>7550</v>
      </c>
      <c r="AR185" s="241">
        <f>'FY26'!BL185</f>
        <v>18000</v>
      </c>
      <c r="AS185" s="241">
        <f>'FY27'!BL185</f>
        <v>18600</v>
      </c>
      <c r="AT185" s="241">
        <f>'FY28'!BL185</f>
        <v>19200</v>
      </c>
      <c r="AU185" s="241">
        <f>'FY29'!BL185</f>
        <v>20400</v>
      </c>
      <c r="AV185" s="241">
        <f>'FY30'!BL185</f>
        <v>21000</v>
      </c>
      <c r="AX185" s="241">
        <f>'FY26'!BT185</f>
        <v>150500</v>
      </c>
      <c r="AY185" s="241">
        <f>'FY27'!BT185</f>
        <v>170695</v>
      </c>
      <c r="AZ185" s="241">
        <f>'FY28'!BT185</f>
        <v>183305.99000000002</v>
      </c>
      <c r="BA185" s="241">
        <f>'FY29'!BT185</f>
        <v>196537.1955</v>
      </c>
      <c r="BB185" s="241">
        <f>'FY30'!BT185</f>
        <v>208709.21833700003</v>
      </c>
    </row>
    <row r="186" spans="1:54" x14ac:dyDescent="0.25">
      <c r="A186" s="211" t="s">
        <v>264</v>
      </c>
      <c r="B186" s="241">
        <f>'FY26'!H186</f>
        <v>0</v>
      </c>
      <c r="C186" s="241">
        <f>'FY27'!H186</f>
        <v>0</v>
      </c>
      <c r="D186" s="241">
        <f>'FY28'!H186</f>
        <v>0</v>
      </c>
      <c r="E186" s="241">
        <f>'FY29'!H186</f>
        <v>0</v>
      </c>
      <c r="F186" s="241">
        <f>'FY30'!H186</f>
        <v>0</v>
      </c>
      <c r="H186" s="241">
        <f>'FY26'!P186</f>
        <v>50000</v>
      </c>
      <c r="I186" s="241">
        <f>'FY27'!P186</f>
        <v>52500</v>
      </c>
      <c r="J186" s="241">
        <f>'FY28'!P186</f>
        <v>55000</v>
      </c>
      <c r="K186" s="241">
        <f>'FY29'!P186</f>
        <v>57500</v>
      </c>
      <c r="L186" s="241">
        <f>'FY30'!P186</f>
        <v>60000</v>
      </c>
      <c r="N186" s="241">
        <f>'FY26'!X186</f>
        <v>0</v>
      </c>
      <c r="O186" s="241">
        <f>'FY27'!X186</f>
        <v>0</v>
      </c>
      <c r="P186" s="241">
        <f>'FY28'!X186</f>
        <v>0</v>
      </c>
      <c r="Q186" s="241">
        <f>'FY29'!X186</f>
        <v>0</v>
      </c>
      <c r="R186" s="241">
        <f>'FY30'!X186</f>
        <v>0</v>
      </c>
      <c r="T186" s="241">
        <f>'FY26'!AF186</f>
        <v>0</v>
      </c>
      <c r="U186" s="241">
        <f>'FY27'!AF186</f>
        <v>0</v>
      </c>
      <c r="V186" s="241">
        <f>'FY28'!AF186</f>
        <v>0</v>
      </c>
      <c r="W186" s="241">
        <f>'FY29'!AF186</f>
        <v>0</v>
      </c>
      <c r="X186" s="241">
        <f>'FY30'!AF186</f>
        <v>0</v>
      </c>
      <c r="Z186" s="241">
        <f>'FY26'!AN186</f>
        <v>50000</v>
      </c>
      <c r="AA186" s="241">
        <f>'FY27'!AN186</f>
        <v>52500</v>
      </c>
      <c r="AB186" s="241">
        <f>'FY28'!AN186</f>
        <v>55000</v>
      </c>
      <c r="AC186" s="241">
        <f>'FY29'!AN186</f>
        <v>57500</v>
      </c>
      <c r="AD186" s="241">
        <f>'FY30'!AN186</f>
        <v>57500</v>
      </c>
      <c r="AF186" s="241">
        <f>'FY26'!AV186</f>
        <v>0</v>
      </c>
      <c r="AG186" s="241">
        <f>'FY27'!AV186</f>
        <v>0</v>
      </c>
      <c r="AH186" s="241">
        <f>'FY28'!AV186</f>
        <v>0</v>
      </c>
      <c r="AI186" s="241">
        <f>'FY29'!AV186</f>
        <v>0</v>
      </c>
      <c r="AJ186" s="241">
        <f>'FY30'!AV186</f>
        <v>0</v>
      </c>
      <c r="AL186" s="241">
        <f>'FY26'!BD186</f>
        <v>0</v>
      </c>
      <c r="AM186" s="241">
        <f>'FY27'!BD186</f>
        <v>0</v>
      </c>
      <c r="AN186" s="241">
        <f>'FY28'!BD186</f>
        <v>0</v>
      </c>
      <c r="AO186" s="241">
        <f>'FY29'!BD186</f>
        <v>0</v>
      </c>
      <c r="AP186" s="241">
        <f>'FY30'!BD186</f>
        <v>0</v>
      </c>
      <c r="AR186" s="241">
        <f>'FY26'!BL186</f>
        <v>0</v>
      </c>
      <c r="AS186" s="241">
        <f>'FY27'!BL186</f>
        <v>0</v>
      </c>
      <c r="AT186" s="241">
        <f>'FY28'!BL186</f>
        <v>0</v>
      </c>
      <c r="AU186" s="241">
        <f>'FY29'!BL186</f>
        <v>0</v>
      </c>
      <c r="AV186" s="241">
        <f>'FY30'!BL186</f>
        <v>0</v>
      </c>
      <c r="AX186" s="241">
        <f>'FY26'!BT186</f>
        <v>100000</v>
      </c>
      <c r="AY186" s="241">
        <f>'FY27'!BT186</f>
        <v>105000</v>
      </c>
      <c r="AZ186" s="241">
        <f>'FY28'!BT186</f>
        <v>110000</v>
      </c>
      <c r="BA186" s="241">
        <f>'FY29'!BT186</f>
        <v>115000</v>
      </c>
      <c r="BB186" s="241">
        <f>'FY30'!BT186</f>
        <v>117500</v>
      </c>
    </row>
    <row r="187" spans="1:54" x14ac:dyDescent="0.25">
      <c r="A187" s="211" t="s">
        <v>287</v>
      </c>
      <c r="B187" s="241">
        <f>'FY26'!H187</f>
        <v>0</v>
      </c>
      <c r="C187" s="241">
        <f>'FY27'!H187</f>
        <v>0</v>
      </c>
      <c r="D187" s="241">
        <f>'FY28'!H187</f>
        <v>0</v>
      </c>
      <c r="E187" s="241">
        <f>'FY29'!H187</f>
        <v>0</v>
      </c>
      <c r="F187" s="241">
        <f>'FY30'!H187</f>
        <v>0</v>
      </c>
      <c r="H187" s="241">
        <f>'FY26'!P187</f>
        <v>0</v>
      </c>
      <c r="I187" s="241">
        <f>'FY27'!P187</f>
        <v>0</v>
      </c>
      <c r="J187" s="241">
        <f>'FY28'!P187</f>
        <v>0</v>
      </c>
      <c r="K187" s="241">
        <f>'FY29'!P187</f>
        <v>0</v>
      </c>
      <c r="L187" s="241">
        <f>'FY30'!P187</f>
        <v>0</v>
      </c>
      <c r="N187" s="241">
        <f>'FY26'!X187</f>
        <v>0</v>
      </c>
      <c r="O187" s="241">
        <f>'FY27'!X187</f>
        <v>0</v>
      </c>
      <c r="P187" s="241">
        <f>'FY28'!X187</f>
        <v>0</v>
      </c>
      <c r="Q187" s="241">
        <f>'FY29'!X187</f>
        <v>0</v>
      </c>
      <c r="R187" s="241">
        <f>'FY30'!X187</f>
        <v>0</v>
      </c>
      <c r="T187" s="241">
        <f>'FY26'!AF187</f>
        <v>0</v>
      </c>
      <c r="U187" s="241">
        <f>'FY27'!AF187</f>
        <v>0</v>
      </c>
      <c r="V187" s="241">
        <f>'FY28'!AF187</f>
        <v>0</v>
      </c>
      <c r="W187" s="241">
        <f>'FY29'!AF187</f>
        <v>0</v>
      </c>
      <c r="X187" s="241">
        <f>'FY30'!AF187</f>
        <v>0</v>
      </c>
      <c r="Z187" s="241">
        <f>'FY26'!AN187</f>
        <v>0</v>
      </c>
      <c r="AA187" s="241">
        <f>'FY27'!AN187</f>
        <v>0</v>
      </c>
      <c r="AB187" s="241">
        <f>'FY28'!AN187</f>
        <v>0</v>
      </c>
      <c r="AC187" s="241">
        <f>'FY29'!AN187</f>
        <v>0</v>
      </c>
      <c r="AD187" s="241">
        <f>'FY30'!AN187</f>
        <v>0</v>
      </c>
      <c r="AF187" s="241">
        <f>'FY26'!AV187</f>
        <v>0</v>
      </c>
      <c r="AG187" s="241">
        <f>'FY27'!AV187</f>
        <v>192500</v>
      </c>
      <c r="AH187" s="241">
        <f>'FY28'!AV187</f>
        <v>329375</v>
      </c>
      <c r="AI187" s="241">
        <f>'FY29'!AV187</f>
        <v>349700</v>
      </c>
      <c r="AJ187" s="241">
        <f>'FY30'!AV187</f>
        <v>349700</v>
      </c>
      <c r="AL187" s="241">
        <f>'FY26'!BD187</f>
        <v>0</v>
      </c>
      <c r="AM187" s="241">
        <f>'FY27'!BD187</f>
        <v>0</v>
      </c>
      <c r="AN187" s="241">
        <f>'FY28'!BD187</f>
        <v>0</v>
      </c>
      <c r="AO187" s="241">
        <f>'FY29'!BD187</f>
        <v>0</v>
      </c>
      <c r="AP187" s="241">
        <f>'FY30'!BD187</f>
        <v>0</v>
      </c>
      <c r="AR187" s="241">
        <f>'FY26'!BL187</f>
        <v>0</v>
      </c>
      <c r="AS187" s="241">
        <f>'FY27'!BL187</f>
        <v>0</v>
      </c>
      <c r="AT187" s="241">
        <f>'FY28'!BL187</f>
        <v>0</v>
      </c>
      <c r="AU187" s="241">
        <f>'FY29'!BL187</f>
        <v>0</v>
      </c>
      <c r="AV187" s="241">
        <f>'FY30'!BL187</f>
        <v>0</v>
      </c>
      <c r="AX187" s="241">
        <f>'FY26'!BT187</f>
        <v>0</v>
      </c>
      <c r="AY187" s="241">
        <f>'FY27'!BT187</f>
        <v>192500</v>
      </c>
      <c r="AZ187" s="241">
        <f>'FY28'!BT187</f>
        <v>329375</v>
      </c>
      <c r="BA187" s="241">
        <f>'FY29'!BT187</f>
        <v>349700</v>
      </c>
      <c r="BB187" s="241">
        <f>'FY30'!BT187</f>
        <v>349700</v>
      </c>
    </row>
    <row r="188" spans="1:54" x14ac:dyDescent="0.25">
      <c r="A188" s="211" t="s">
        <v>288</v>
      </c>
      <c r="B188" s="241">
        <f>'FY26'!H188</f>
        <v>0</v>
      </c>
      <c r="C188" s="241">
        <f>'FY27'!H188</f>
        <v>0</v>
      </c>
      <c r="D188" s="241">
        <f>'FY28'!H188</f>
        <v>0</v>
      </c>
      <c r="E188" s="241">
        <f>'FY29'!H188</f>
        <v>0</v>
      </c>
      <c r="F188" s="241">
        <f>'FY30'!H188</f>
        <v>0</v>
      </c>
      <c r="H188" s="241">
        <f>'FY26'!P188</f>
        <v>0</v>
      </c>
      <c r="I188" s="241">
        <f>'FY27'!P188</f>
        <v>0</v>
      </c>
      <c r="J188" s="241">
        <f>'FY28'!P188</f>
        <v>0</v>
      </c>
      <c r="K188" s="241">
        <f>'FY29'!P188</f>
        <v>0</v>
      </c>
      <c r="L188" s="241">
        <f>'FY30'!P188</f>
        <v>0</v>
      </c>
      <c r="N188" s="241">
        <f>'FY26'!X188</f>
        <v>0</v>
      </c>
      <c r="O188" s="241">
        <f>'FY27'!X188</f>
        <v>0</v>
      </c>
      <c r="P188" s="241">
        <f>'FY28'!X188</f>
        <v>0</v>
      </c>
      <c r="Q188" s="241">
        <f>'FY29'!X188</f>
        <v>0</v>
      </c>
      <c r="R188" s="241">
        <f>'FY30'!X188</f>
        <v>0</v>
      </c>
      <c r="T188" s="241">
        <f>'FY26'!AF188</f>
        <v>0</v>
      </c>
      <c r="U188" s="241">
        <f>'FY27'!AF188</f>
        <v>0</v>
      </c>
      <c r="V188" s="241">
        <f>'FY28'!AF188</f>
        <v>0</v>
      </c>
      <c r="W188" s="241">
        <f>'FY29'!AF188</f>
        <v>0</v>
      </c>
      <c r="X188" s="241">
        <f>'FY30'!AF188</f>
        <v>0</v>
      </c>
      <c r="Z188" s="241">
        <f>'FY26'!AN188</f>
        <v>0</v>
      </c>
      <c r="AA188" s="241">
        <f>'FY27'!AN188</f>
        <v>0</v>
      </c>
      <c r="AB188" s="241">
        <f>'FY28'!AN188</f>
        <v>0</v>
      </c>
      <c r="AC188" s="241">
        <f>'FY29'!AN188</f>
        <v>0</v>
      </c>
      <c r="AD188" s="241">
        <f>'FY30'!AN188</f>
        <v>0</v>
      </c>
      <c r="AF188" s="241">
        <f>'FY26'!AV188</f>
        <v>0</v>
      </c>
      <c r="AG188" s="241">
        <f>'FY27'!AV188</f>
        <v>0</v>
      </c>
      <c r="AH188" s="241">
        <f>'FY28'!AV188</f>
        <v>0</v>
      </c>
      <c r="AI188" s="241">
        <f>'FY29'!AV188</f>
        <v>0</v>
      </c>
      <c r="AJ188" s="241">
        <f>'FY30'!AV188</f>
        <v>0</v>
      </c>
      <c r="AL188" s="241">
        <f>'FY26'!BD188</f>
        <v>0</v>
      </c>
      <c r="AM188" s="241">
        <f>'FY27'!BD188</f>
        <v>0</v>
      </c>
      <c r="AN188" s="241">
        <f>'FY28'!BD188</f>
        <v>0</v>
      </c>
      <c r="AO188" s="241">
        <f>'FY29'!BD188</f>
        <v>0</v>
      </c>
      <c r="AP188" s="241">
        <f>'FY30'!BD188</f>
        <v>0</v>
      </c>
      <c r="AR188" s="241">
        <f>'FY26'!BL188</f>
        <v>0</v>
      </c>
      <c r="AS188" s="241">
        <f>'FY27'!BL188</f>
        <v>0</v>
      </c>
      <c r="AT188" s="241">
        <f>'FY28'!BL188</f>
        <v>0</v>
      </c>
      <c r="AU188" s="241">
        <f>'FY29'!BL188</f>
        <v>0</v>
      </c>
      <c r="AV188" s="241">
        <f>'FY30'!BL188</f>
        <v>0</v>
      </c>
      <c r="AX188" s="241">
        <f>'FY26'!BT188</f>
        <v>0</v>
      </c>
      <c r="AY188" s="241">
        <f>'FY27'!BT188</f>
        <v>0</v>
      </c>
      <c r="AZ188" s="241">
        <f>'FY28'!BT188</f>
        <v>0</v>
      </c>
      <c r="BA188" s="241">
        <f>'FY29'!BT188</f>
        <v>0</v>
      </c>
      <c r="BB188" s="241">
        <f>'FY30'!BT188</f>
        <v>0</v>
      </c>
    </row>
    <row r="189" spans="1:54" x14ac:dyDescent="0.25">
      <c r="A189" s="211" t="s">
        <v>289</v>
      </c>
      <c r="B189" s="241">
        <f>'FY26'!H189</f>
        <v>0</v>
      </c>
      <c r="C189" s="241">
        <f>'FY27'!H189</f>
        <v>0</v>
      </c>
      <c r="D189" s="241">
        <f>'FY28'!H189</f>
        <v>0</v>
      </c>
      <c r="E189" s="241">
        <f>'FY29'!H189</f>
        <v>0</v>
      </c>
      <c r="F189" s="241">
        <f>'FY30'!H189</f>
        <v>0</v>
      </c>
      <c r="H189" s="241">
        <f>'FY26'!P189</f>
        <v>0</v>
      </c>
      <c r="I189" s="241">
        <f>'FY27'!P189</f>
        <v>0</v>
      </c>
      <c r="J189" s="241">
        <f>'FY28'!P189</f>
        <v>0</v>
      </c>
      <c r="K189" s="241">
        <f>'FY29'!P189</f>
        <v>0</v>
      </c>
      <c r="L189" s="241">
        <f>'FY30'!P189</f>
        <v>0</v>
      </c>
      <c r="N189" s="241">
        <f>'FY26'!X189</f>
        <v>0</v>
      </c>
      <c r="O189" s="241">
        <f>'FY27'!X189</f>
        <v>0</v>
      </c>
      <c r="P189" s="241">
        <f>'FY28'!X189</f>
        <v>0</v>
      </c>
      <c r="Q189" s="241">
        <f>'FY29'!X189</f>
        <v>0</v>
      </c>
      <c r="R189" s="241">
        <f>'FY30'!X189</f>
        <v>0</v>
      </c>
      <c r="T189" s="241">
        <f>'FY26'!AF189</f>
        <v>0</v>
      </c>
      <c r="U189" s="241">
        <f>'FY27'!AF189</f>
        <v>0</v>
      </c>
      <c r="V189" s="241">
        <f>'FY28'!AF189</f>
        <v>0</v>
      </c>
      <c r="W189" s="241">
        <f>'FY29'!AF189</f>
        <v>0</v>
      </c>
      <c r="X189" s="241">
        <f>'FY30'!AF189</f>
        <v>0</v>
      </c>
      <c r="Z189" s="241">
        <f>'FY26'!AN189</f>
        <v>0</v>
      </c>
      <c r="AA189" s="241">
        <f>'FY27'!AN189</f>
        <v>0</v>
      </c>
      <c r="AB189" s="241">
        <f>'FY28'!AN189</f>
        <v>0</v>
      </c>
      <c r="AC189" s="241">
        <f>'FY29'!AN189</f>
        <v>0</v>
      </c>
      <c r="AD189" s="241">
        <f>'FY30'!AN189</f>
        <v>0</v>
      </c>
      <c r="AF189" s="241">
        <f>'FY26'!AV189</f>
        <v>0</v>
      </c>
      <c r="AG189" s="241">
        <f>'FY27'!AV189</f>
        <v>0</v>
      </c>
      <c r="AH189" s="241">
        <f>'FY28'!AV189</f>
        <v>0</v>
      </c>
      <c r="AI189" s="241">
        <f>'FY29'!AV189</f>
        <v>0</v>
      </c>
      <c r="AJ189" s="241">
        <f>'FY30'!AV189</f>
        <v>0</v>
      </c>
      <c r="AL189" s="241">
        <f>'FY26'!BD189</f>
        <v>0</v>
      </c>
      <c r="AM189" s="241">
        <f>'FY27'!BD189</f>
        <v>0</v>
      </c>
      <c r="AN189" s="241">
        <f>'FY28'!BD189</f>
        <v>0</v>
      </c>
      <c r="AO189" s="241">
        <f>'FY29'!BD189</f>
        <v>0</v>
      </c>
      <c r="AP189" s="241">
        <f>'FY30'!BD189</f>
        <v>0</v>
      </c>
      <c r="AR189" s="241">
        <f>'FY26'!BL189</f>
        <v>0</v>
      </c>
      <c r="AS189" s="241">
        <f>'FY27'!BL189</f>
        <v>0</v>
      </c>
      <c r="AT189" s="241">
        <f>'FY28'!BL189</f>
        <v>0</v>
      </c>
      <c r="AU189" s="241">
        <f>'FY29'!BL189</f>
        <v>0</v>
      </c>
      <c r="AV189" s="241">
        <f>'FY30'!BL189</f>
        <v>0</v>
      </c>
      <c r="AX189" s="241">
        <f>'FY26'!BT189</f>
        <v>0</v>
      </c>
      <c r="AY189" s="241">
        <f>'FY27'!BT189</f>
        <v>0</v>
      </c>
      <c r="AZ189" s="241">
        <f>'FY28'!BT189</f>
        <v>0</v>
      </c>
      <c r="BA189" s="241">
        <f>'FY29'!BT189</f>
        <v>0</v>
      </c>
      <c r="BB189" s="241">
        <f>'FY30'!BT189</f>
        <v>0</v>
      </c>
    </row>
    <row r="190" spans="1:54" x14ac:dyDescent="0.25">
      <c r="A190" s="211" t="s">
        <v>290</v>
      </c>
      <c r="B190" s="241">
        <f>'FY26'!H190</f>
        <v>0</v>
      </c>
      <c r="C190" s="241">
        <f>'FY27'!H190</f>
        <v>0</v>
      </c>
      <c r="D190" s="241">
        <f>'FY28'!H190</f>
        <v>0</v>
      </c>
      <c r="E190" s="241">
        <f>'FY29'!H190</f>
        <v>0</v>
      </c>
      <c r="F190" s="241">
        <f>'FY30'!H190</f>
        <v>0</v>
      </c>
      <c r="H190" s="241">
        <f>'FY26'!P190</f>
        <v>0</v>
      </c>
      <c r="I190" s="241">
        <f>'FY27'!P190</f>
        <v>0</v>
      </c>
      <c r="J190" s="241">
        <f>'FY28'!P190</f>
        <v>0</v>
      </c>
      <c r="K190" s="241">
        <f>'FY29'!P190</f>
        <v>0</v>
      </c>
      <c r="L190" s="241">
        <f>'FY30'!P190</f>
        <v>0</v>
      </c>
      <c r="N190" s="241">
        <f>'FY26'!X190</f>
        <v>0</v>
      </c>
      <c r="O190" s="241">
        <f>'FY27'!X190</f>
        <v>0</v>
      </c>
      <c r="P190" s="241">
        <f>'FY28'!X190</f>
        <v>0</v>
      </c>
      <c r="Q190" s="241">
        <f>'FY29'!X190</f>
        <v>0</v>
      </c>
      <c r="R190" s="241">
        <f>'FY30'!X190</f>
        <v>0</v>
      </c>
      <c r="T190" s="241">
        <f>'FY26'!AF190</f>
        <v>0</v>
      </c>
      <c r="U190" s="241">
        <f>'FY27'!AF190</f>
        <v>0</v>
      </c>
      <c r="V190" s="241">
        <f>'FY28'!AF190</f>
        <v>0</v>
      </c>
      <c r="W190" s="241">
        <f>'FY29'!AF190</f>
        <v>0</v>
      </c>
      <c r="X190" s="241">
        <f>'FY30'!AF190</f>
        <v>0</v>
      </c>
      <c r="Z190" s="241">
        <f>'FY26'!AN190</f>
        <v>0</v>
      </c>
      <c r="AA190" s="241">
        <f>'FY27'!AN190</f>
        <v>0</v>
      </c>
      <c r="AB190" s="241">
        <f>'FY28'!AN190</f>
        <v>0</v>
      </c>
      <c r="AC190" s="241">
        <f>'FY29'!AN190</f>
        <v>0</v>
      </c>
      <c r="AD190" s="241">
        <f>'FY30'!AN190</f>
        <v>0</v>
      </c>
      <c r="AF190" s="241">
        <f>'FY26'!AV190</f>
        <v>0</v>
      </c>
      <c r="AG190" s="241">
        <f>'FY27'!AV190</f>
        <v>0</v>
      </c>
      <c r="AH190" s="241">
        <f>'FY28'!AV190</f>
        <v>0</v>
      </c>
      <c r="AI190" s="241">
        <f>'FY29'!AV190</f>
        <v>0</v>
      </c>
      <c r="AJ190" s="241">
        <f>'FY30'!AV190</f>
        <v>0</v>
      </c>
      <c r="AL190" s="241">
        <f>'FY26'!BD190</f>
        <v>0</v>
      </c>
      <c r="AM190" s="241">
        <f>'FY27'!BD190</f>
        <v>0</v>
      </c>
      <c r="AN190" s="241">
        <f>'FY28'!BD190</f>
        <v>0</v>
      </c>
      <c r="AO190" s="241">
        <f>'FY29'!BD190</f>
        <v>0</v>
      </c>
      <c r="AP190" s="241">
        <f>'FY30'!BD190</f>
        <v>0</v>
      </c>
      <c r="AR190" s="241">
        <f>'FY26'!BL190</f>
        <v>0</v>
      </c>
      <c r="AS190" s="241">
        <f>'FY27'!BL190</f>
        <v>0</v>
      </c>
      <c r="AT190" s="241">
        <f>'FY28'!BL190</f>
        <v>0</v>
      </c>
      <c r="AU190" s="241">
        <f>'FY29'!BL190</f>
        <v>0</v>
      </c>
      <c r="AV190" s="241">
        <f>'FY30'!BL190</f>
        <v>0</v>
      </c>
      <c r="AX190" s="241">
        <f>'FY26'!BT190</f>
        <v>0</v>
      </c>
      <c r="AY190" s="241">
        <f>'FY27'!BT190</f>
        <v>0</v>
      </c>
      <c r="AZ190" s="241">
        <f>'FY28'!BT190</f>
        <v>0</v>
      </c>
      <c r="BA190" s="241">
        <f>'FY29'!BT190</f>
        <v>0</v>
      </c>
      <c r="BB190" s="241">
        <f>'FY30'!BT190</f>
        <v>0</v>
      </c>
    </row>
    <row r="191" spans="1:54" x14ac:dyDescent="0.25">
      <c r="A191" s="211" t="s">
        <v>291</v>
      </c>
      <c r="B191" s="241">
        <f>'FY26'!H191</f>
        <v>300000</v>
      </c>
      <c r="C191" s="241">
        <f>'FY27'!H191</f>
        <v>300000</v>
      </c>
      <c r="D191" s="241">
        <f>'FY28'!H191</f>
        <v>300000</v>
      </c>
      <c r="E191" s="241">
        <f>'FY29'!H191</f>
        <v>300000</v>
      </c>
      <c r="F191" s="241">
        <f>'FY30'!H191</f>
        <v>300000</v>
      </c>
      <c r="H191" s="241">
        <f>'FY26'!P191</f>
        <v>1500000</v>
      </c>
      <c r="I191" s="241">
        <f>'FY27'!P191</f>
        <v>1500000</v>
      </c>
      <c r="J191" s="241">
        <f>'FY28'!P191</f>
        <v>1500000</v>
      </c>
      <c r="K191" s="241">
        <f>'FY29'!P191</f>
        <v>1500000</v>
      </c>
      <c r="L191" s="241">
        <f>'FY30'!P191</f>
        <v>1500000</v>
      </c>
      <c r="N191" s="241">
        <f>'FY26'!X191</f>
        <v>850000</v>
      </c>
      <c r="O191" s="241">
        <f>'FY27'!X191</f>
        <v>850000</v>
      </c>
      <c r="P191" s="241">
        <f>'FY28'!X191</f>
        <v>850000</v>
      </c>
      <c r="Q191" s="241">
        <f>'FY29'!X191</f>
        <v>850000</v>
      </c>
      <c r="R191" s="241">
        <f>'FY30'!X191</f>
        <v>850000</v>
      </c>
      <c r="T191" s="241">
        <f>'FY26'!AF191</f>
        <v>900000</v>
      </c>
      <c r="U191" s="241">
        <f>'FY27'!AF191</f>
        <v>900000</v>
      </c>
      <c r="V191" s="241">
        <f>'FY28'!AF191</f>
        <v>900000</v>
      </c>
      <c r="W191" s="241">
        <f>'FY29'!AF191</f>
        <v>900000</v>
      </c>
      <c r="X191" s="241">
        <f>'FY30'!AF191</f>
        <v>900000</v>
      </c>
      <c r="Z191" s="241">
        <f>'FY26'!AN191</f>
        <v>2500000</v>
      </c>
      <c r="AA191" s="241">
        <f>'FY27'!AN191</f>
        <v>2500000</v>
      </c>
      <c r="AB191" s="241">
        <f>'FY28'!AN191</f>
        <v>2500000</v>
      </c>
      <c r="AC191" s="241">
        <f>'FY29'!AN191</f>
        <v>2500000</v>
      </c>
      <c r="AD191" s="241">
        <f>'FY30'!AN191</f>
        <v>2500000</v>
      </c>
      <c r="AF191" s="241">
        <f>'FY26'!AV191</f>
        <v>100000</v>
      </c>
      <c r="AG191" s="241">
        <f>'FY27'!AV191</f>
        <v>100000</v>
      </c>
      <c r="AH191" s="241">
        <f>'FY28'!AV191</f>
        <v>100000</v>
      </c>
      <c r="AI191" s="241">
        <f>'FY29'!AV191</f>
        <v>100000</v>
      </c>
      <c r="AJ191" s="241">
        <f>'FY30'!AV191</f>
        <v>100000</v>
      </c>
      <c r="AL191" s="241">
        <f>'FY26'!BD191</f>
        <v>25000</v>
      </c>
      <c r="AM191" s="241">
        <f>'FY27'!BD191</f>
        <v>25000</v>
      </c>
      <c r="AN191" s="241">
        <f>'FY28'!BD191</f>
        <v>25000</v>
      </c>
      <c r="AO191" s="241">
        <f>'FY29'!BD191</f>
        <v>25000</v>
      </c>
      <c r="AP191" s="241">
        <f>'FY30'!BD191</f>
        <v>25000</v>
      </c>
      <c r="AR191" s="241">
        <f>'FY26'!BL191</f>
        <v>0</v>
      </c>
      <c r="AS191" s="241">
        <f>'FY27'!BL191</f>
        <v>0</v>
      </c>
      <c r="AT191" s="241">
        <f>'FY28'!BL191</f>
        <v>0</v>
      </c>
      <c r="AU191" s="241">
        <f>'FY29'!BL191</f>
        <v>0</v>
      </c>
      <c r="AV191" s="241">
        <f>'FY30'!BL191</f>
        <v>0</v>
      </c>
      <c r="AX191" s="241">
        <f>'FY26'!BT191</f>
        <v>6175000</v>
      </c>
      <c r="AY191" s="241">
        <f>'FY27'!BT191</f>
        <v>6175000</v>
      </c>
      <c r="AZ191" s="241">
        <f>'FY28'!BT191</f>
        <v>6175000</v>
      </c>
      <c r="BA191" s="241">
        <f>'FY29'!BT191</f>
        <v>6175000</v>
      </c>
      <c r="BB191" s="241">
        <f>'FY30'!BT191</f>
        <v>6175000</v>
      </c>
    </row>
    <row r="192" spans="1:54" x14ac:dyDescent="0.25">
      <c r="A192" s="211" t="s">
        <v>292</v>
      </c>
      <c r="B192" s="241">
        <f>'FY26'!H192</f>
        <v>3500</v>
      </c>
      <c r="C192" s="241">
        <f>'FY27'!H192</f>
        <v>3500</v>
      </c>
      <c r="D192" s="241">
        <f>'FY28'!H192</f>
        <v>3500</v>
      </c>
      <c r="E192" s="241">
        <f>'FY29'!H192</f>
        <v>1500</v>
      </c>
      <c r="F192" s="241">
        <f>'FY30'!H192</f>
        <v>2500</v>
      </c>
      <c r="H192" s="241">
        <f>'FY26'!P192</f>
        <v>54770</v>
      </c>
      <c r="I192" s="241">
        <f>'FY27'!P192</f>
        <v>54770</v>
      </c>
      <c r="J192" s="241">
        <f>'FY28'!P192</f>
        <v>54770</v>
      </c>
      <c r="K192" s="241">
        <f>'FY29'!P192</f>
        <v>54770</v>
      </c>
      <c r="L192" s="241">
        <f>'FY30'!P192</f>
        <v>54770</v>
      </c>
      <c r="N192" s="241">
        <f>'FY26'!X192</f>
        <v>5000</v>
      </c>
      <c r="O192" s="241">
        <f>'FY27'!X192</f>
        <v>5000</v>
      </c>
      <c r="P192" s="241">
        <f>'FY28'!X192</f>
        <v>5000</v>
      </c>
      <c r="Q192" s="241">
        <f>'FY29'!X192</f>
        <v>5000</v>
      </c>
      <c r="R192" s="241">
        <f>'FY30'!X192</f>
        <v>5000</v>
      </c>
      <c r="T192" s="241">
        <f>'FY26'!AF192</f>
        <v>5000</v>
      </c>
      <c r="U192" s="241">
        <f>'FY27'!AF192</f>
        <v>5000</v>
      </c>
      <c r="V192" s="241">
        <f>'FY28'!AF192</f>
        <v>5000</v>
      </c>
      <c r="W192" s="241">
        <f>'FY29'!AF192</f>
        <v>5000</v>
      </c>
      <c r="X192" s="241">
        <f>'FY30'!AF192</f>
        <v>5000</v>
      </c>
      <c r="Z192" s="241">
        <f>'FY26'!AN192</f>
        <v>5000</v>
      </c>
      <c r="AA192" s="241">
        <f>'FY27'!AN192</f>
        <v>5000</v>
      </c>
      <c r="AB192" s="241">
        <f>'FY28'!AN192</f>
        <v>5000</v>
      </c>
      <c r="AC192" s="241">
        <f>'FY29'!AN192</f>
        <v>5000</v>
      </c>
      <c r="AD192" s="241">
        <f>'FY30'!AN192</f>
        <v>5000</v>
      </c>
      <c r="AF192" s="241">
        <f>'FY26'!AV192</f>
        <v>2500</v>
      </c>
      <c r="AG192" s="241">
        <f>'FY27'!AV192</f>
        <v>2500</v>
      </c>
      <c r="AH192" s="241">
        <f>'FY28'!AV192</f>
        <v>2500</v>
      </c>
      <c r="AI192" s="241">
        <f>'FY29'!AV192</f>
        <v>2500</v>
      </c>
      <c r="AJ192" s="241">
        <f>'FY30'!AV192</f>
        <v>2500</v>
      </c>
      <c r="AL192" s="241">
        <f>'FY26'!BD192</f>
        <v>1000</v>
      </c>
      <c r="AM192" s="241">
        <f>'FY27'!BD192</f>
        <v>1000</v>
      </c>
      <c r="AN192" s="241">
        <f>'FY28'!BD192</f>
        <v>1000</v>
      </c>
      <c r="AO192" s="241">
        <f>'FY29'!BD192</f>
        <v>1000</v>
      </c>
      <c r="AP192" s="241">
        <f>'FY30'!BD192</f>
        <v>1000</v>
      </c>
      <c r="AR192" s="241">
        <f>'FY26'!BL192</f>
        <v>337427</v>
      </c>
      <c r="AS192" s="241">
        <f>'FY27'!BL192</f>
        <v>337427</v>
      </c>
      <c r="AT192" s="241">
        <f>'FY28'!BL192</f>
        <v>337427</v>
      </c>
      <c r="AU192" s="241">
        <f>'FY29'!BL192</f>
        <v>337427</v>
      </c>
      <c r="AV192" s="241">
        <f>'FY30'!BL192</f>
        <v>337427</v>
      </c>
      <c r="AX192" s="241">
        <f>'FY26'!BT192</f>
        <v>414197</v>
      </c>
      <c r="AY192" s="241">
        <f>'FY27'!BT192</f>
        <v>414197</v>
      </c>
      <c r="AZ192" s="241">
        <f>'FY28'!BT192</f>
        <v>414197</v>
      </c>
      <c r="BA192" s="241">
        <f>'FY29'!BT192</f>
        <v>412197</v>
      </c>
      <c r="BB192" s="241">
        <f>'FY30'!BT192</f>
        <v>413197</v>
      </c>
    </row>
    <row r="193" spans="1:54" x14ac:dyDescent="0.25">
      <c r="A193" s="212" t="s">
        <v>293</v>
      </c>
      <c r="B193" s="241">
        <f>'FY26'!H193</f>
        <v>85685.6</v>
      </c>
      <c r="C193" s="241">
        <f>'FY27'!H193</f>
        <v>136299.59099999999</v>
      </c>
      <c r="D193" s="241">
        <f>'FY28'!H193</f>
        <v>89270.1</v>
      </c>
      <c r="E193" s="241">
        <f>'FY29'!H193</f>
        <v>31714.987499999999</v>
      </c>
      <c r="F193" s="241">
        <f>'FY30'!H193</f>
        <v>32201.662500000002</v>
      </c>
      <c r="H193" s="241">
        <f>'FY26'!P193</f>
        <v>468163.52</v>
      </c>
      <c r="I193" s="241">
        <f>'FY27'!P193</f>
        <v>476956.08</v>
      </c>
      <c r="J193" s="241">
        <f>'FY28'!P193</f>
        <v>484196.4</v>
      </c>
      <c r="K193" s="241">
        <f>'FY29'!P193</f>
        <v>466912.64999999997</v>
      </c>
      <c r="L193" s="241">
        <f>'FY30'!P193</f>
        <v>499029</v>
      </c>
      <c r="N193" s="241">
        <f>'FY26'!X193</f>
        <v>179421.88</v>
      </c>
      <c r="O193" s="241">
        <f>'FY27'!X193</f>
        <v>146558.69999999998</v>
      </c>
      <c r="P193" s="241">
        <f>'FY28'!X193</f>
        <v>148783.5</v>
      </c>
      <c r="Q193" s="241">
        <f>'FY29'!X193</f>
        <v>151023.75</v>
      </c>
      <c r="R193" s="241">
        <f>'FY30'!X193</f>
        <v>153341.25</v>
      </c>
      <c r="T193" s="241">
        <f>'FY26'!AF193</f>
        <v>222970.88</v>
      </c>
      <c r="U193" s="241">
        <f>'FY27'!AF193</f>
        <v>255695.13</v>
      </c>
      <c r="V193" s="241">
        <f>'FY28'!AF193</f>
        <v>248039.90999999997</v>
      </c>
      <c r="W193" s="241">
        <f>'FY29'!AF193</f>
        <v>175656.75</v>
      </c>
      <c r="X193" s="241">
        <f>'FY30'!AF193</f>
        <v>267528.375</v>
      </c>
      <c r="Z193" s="241">
        <f>'FY26'!AN193</f>
        <v>250239.61599999998</v>
      </c>
      <c r="AA193" s="241">
        <f>'FY27'!AN193</f>
        <v>296200.35000000003</v>
      </c>
      <c r="AB193" s="241">
        <f>'FY28'!AN193</f>
        <v>330212.7</v>
      </c>
      <c r="AC193" s="241">
        <f>'FY29'!AN193</f>
        <v>306446.25</v>
      </c>
      <c r="AD193" s="241">
        <f>'FY30'!AN193</f>
        <v>311148.75</v>
      </c>
      <c r="AF193" s="241">
        <f>'FY26'!AV193</f>
        <v>0</v>
      </c>
      <c r="AG193" s="241">
        <f>'FY27'!AV193</f>
        <v>0</v>
      </c>
      <c r="AH193" s="241">
        <f>'FY28'!AV193</f>
        <v>0</v>
      </c>
      <c r="AI193" s="241">
        <f>'FY29'!AV193</f>
        <v>0</v>
      </c>
      <c r="AJ193" s="241">
        <f>'FY30'!AV193</f>
        <v>0</v>
      </c>
      <c r="AL193" s="241">
        <f>'FY26'!BD193</f>
        <v>36251.599999999999</v>
      </c>
      <c r="AM193" s="241">
        <f>'FY27'!BD193</f>
        <v>47477.43</v>
      </c>
      <c r="AN193" s="241">
        <f>'FY28'!BD193</f>
        <v>48198.15</v>
      </c>
      <c r="AO193" s="241">
        <f>'FY29'!BD193</f>
        <v>48923.875</v>
      </c>
      <c r="AP193" s="241">
        <f>'FY30'!BD193</f>
        <v>48771.45</v>
      </c>
      <c r="AR193" s="241">
        <f>'FY26'!BL193</f>
        <v>0</v>
      </c>
      <c r="AS193" s="241">
        <f>'FY27'!BL193</f>
        <v>0</v>
      </c>
      <c r="AT193" s="241">
        <f>'FY28'!BL193</f>
        <v>0</v>
      </c>
      <c r="AU193" s="241">
        <f>'FY29'!BL193</f>
        <v>0</v>
      </c>
      <c r="AV193" s="241">
        <f>'FY30'!BL193</f>
        <v>0</v>
      </c>
      <c r="AX193" s="241">
        <f>'FY26'!BT193</f>
        <v>1242733.0960000001</v>
      </c>
      <c r="AY193" s="241">
        <f>'FY27'!BT193</f>
        <v>1359187.281</v>
      </c>
      <c r="AZ193" s="241">
        <f>'FY28'!BT193</f>
        <v>1348700.7599999998</v>
      </c>
      <c r="BA193" s="241">
        <f>'FY29'!BT193</f>
        <v>1180678.2625</v>
      </c>
      <c r="BB193" s="241">
        <f>'FY30'!BT193</f>
        <v>1312020.4875</v>
      </c>
    </row>
    <row r="194" spans="1:54" x14ac:dyDescent="0.25">
      <c r="A194" s="213"/>
      <c r="B194" s="258">
        <f>'FY26'!H194</f>
        <v>775069.1</v>
      </c>
      <c r="C194" s="258">
        <f>'FY27'!H194</f>
        <v>844279.03949999996</v>
      </c>
      <c r="D194" s="258">
        <f>'FY28'!H194</f>
        <v>814785.57247000001</v>
      </c>
      <c r="E194" s="258">
        <f>'FY29'!H194</f>
        <v>776705.63791940012</v>
      </c>
      <c r="F194" s="258">
        <f>'FY30'!H194</f>
        <v>799589.36835928797</v>
      </c>
      <c r="H194" s="258">
        <f>'FY26'!P194</f>
        <v>2882762.62</v>
      </c>
      <c r="I194" s="258">
        <f>'FY27'!P194</f>
        <v>2939719.6069999998</v>
      </c>
      <c r="J194" s="258">
        <f>'FY28'!P194</f>
        <v>2990419.2375399997</v>
      </c>
      <c r="K194" s="258">
        <f>'FY29'!P194</f>
        <v>3027410.5711908001</v>
      </c>
      <c r="L194" s="258">
        <f>'FY30'!P194</f>
        <v>3113887.7916586162</v>
      </c>
      <c r="N194" s="258">
        <f>'FY26'!X194</f>
        <v>1327797.3799999999</v>
      </c>
      <c r="O194" s="258">
        <f>'FY27'!X194</f>
        <v>1313443.865</v>
      </c>
      <c r="P194" s="258">
        <f>'FY28'!X194</f>
        <v>1332375.9933</v>
      </c>
      <c r="Q194" s="258">
        <f>'FY29'!X194</f>
        <v>1355816.669366</v>
      </c>
      <c r="R194" s="258">
        <f>'FY30'!X194</f>
        <v>1379259.0683548199</v>
      </c>
      <c r="T194" s="258">
        <f>'FY26'!AF194</f>
        <v>1420371.2799999998</v>
      </c>
      <c r="U194" s="258">
        <f>'FY27'!AF194</f>
        <v>1472901.5559999999</v>
      </c>
      <c r="V194" s="258">
        <f>'FY28'!AF194</f>
        <v>1483641.6245199998</v>
      </c>
      <c r="W194" s="258">
        <f>'FY29'!AF194</f>
        <v>1434898.1012104</v>
      </c>
      <c r="X194" s="258">
        <f>'FY30'!AF194</f>
        <v>1550390.292846608</v>
      </c>
      <c r="Z194" s="258">
        <f>'FY26'!AN194</f>
        <v>3361089.216</v>
      </c>
      <c r="AA194" s="258">
        <f>'FY27'!AN194</f>
        <v>3449233.8760000002</v>
      </c>
      <c r="AB194" s="258">
        <f>'FY28'!AN194</f>
        <v>3522181.6696000001</v>
      </c>
      <c r="AC194" s="258">
        <f>'FY29'!AN194</f>
        <v>3547336.4341984</v>
      </c>
      <c r="AD194" s="258">
        <f>'FY30'!AN194</f>
        <v>3598727.1074773679</v>
      </c>
      <c r="AF194" s="258">
        <f>'FY26'!AV194</f>
        <v>315104.5</v>
      </c>
      <c r="AG194" s="258">
        <f>'FY27'!AV194</f>
        <v>937661.05599999998</v>
      </c>
      <c r="AH194" s="258">
        <f>'FY28'!AV194</f>
        <v>1102767.4263599999</v>
      </c>
      <c r="AI194" s="258">
        <f>'FY29'!AV194</f>
        <v>1135640.7171672001</v>
      </c>
      <c r="AJ194" s="258">
        <f>'FY30'!AV194</f>
        <v>1159560.29147232</v>
      </c>
      <c r="AL194" s="258">
        <f>'FY26'!BD194</f>
        <v>108610.6</v>
      </c>
      <c r="AM194" s="258">
        <f>'FY27'!BD194</f>
        <v>124086.59700000001</v>
      </c>
      <c r="AN194" s="258">
        <f>'FY28'!BD194</f>
        <v>128688.09200999999</v>
      </c>
      <c r="AO194" s="258">
        <f>'FY29'!BD194</f>
        <v>133964.9558502</v>
      </c>
      <c r="AP194" s="258">
        <f>'FY30'!BD194</f>
        <v>138370.33327570598</v>
      </c>
      <c r="AR194" s="258">
        <f>'FY26'!BL194</f>
        <v>362927</v>
      </c>
      <c r="AS194" s="258">
        <f>'FY27'!BL194</f>
        <v>364527</v>
      </c>
      <c r="AT194" s="258">
        <f>'FY28'!BL194</f>
        <v>365627</v>
      </c>
      <c r="AU194" s="258">
        <f>'FY29'!BL194</f>
        <v>367327</v>
      </c>
      <c r="AV194" s="258">
        <f>'FY30'!BL194</f>
        <v>368177</v>
      </c>
      <c r="AX194" s="258">
        <f>'FY26'!BT194</f>
        <v>10553731.696</v>
      </c>
      <c r="AY194" s="258">
        <f>'FY27'!BT194</f>
        <v>11445852.5965</v>
      </c>
      <c r="AZ194" s="258">
        <f>'FY28'!BT194</f>
        <v>11740486.615799999</v>
      </c>
      <c r="BA194" s="258">
        <f>'FY29'!BT194</f>
        <v>11779100.086902399</v>
      </c>
      <c r="BB194" s="258">
        <f>'FY30'!BT194</f>
        <v>12107961.253444728</v>
      </c>
    </row>
    <row r="195" spans="1:54" x14ac:dyDescent="0.25">
      <c r="B195" s="259">
        <f>'FY26'!H195</f>
        <v>0</v>
      </c>
      <c r="C195" s="259">
        <f>'FY27'!H195</f>
        <v>0</v>
      </c>
      <c r="D195" s="259">
        <f>'FY28'!H195</f>
        <v>0</v>
      </c>
      <c r="E195" s="259">
        <f>'FY29'!H195</f>
        <v>0</v>
      </c>
      <c r="F195" s="259">
        <f>'FY30'!H195</f>
        <v>0</v>
      </c>
      <c r="H195" s="259">
        <f>'FY26'!P195</f>
        <v>0</v>
      </c>
      <c r="I195" s="259">
        <f>'FY27'!P195</f>
        <v>0</v>
      </c>
      <c r="J195" s="259">
        <f>'FY28'!P195</f>
        <v>0</v>
      </c>
      <c r="K195" s="259">
        <f>'FY29'!P195</f>
        <v>0</v>
      </c>
      <c r="L195" s="259">
        <f>'FY30'!P195</f>
        <v>0</v>
      </c>
      <c r="N195" s="259">
        <f>'FY26'!X195</f>
        <v>0</v>
      </c>
      <c r="O195" s="259">
        <f>'FY27'!X195</f>
        <v>0</v>
      </c>
      <c r="P195" s="259">
        <f>'FY28'!X195</f>
        <v>0</v>
      </c>
      <c r="Q195" s="259">
        <f>'FY29'!X195</f>
        <v>0</v>
      </c>
      <c r="R195" s="259">
        <f>'FY30'!X195</f>
        <v>0</v>
      </c>
      <c r="T195" s="259">
        <f>'FY26'!AF195</f>
        <v>0</v>
      </c>
      <c r="U195" s="259">
        <f>'FY27'!AF195</f>
        <v>0</v>
      </c>
      <c r="V195" s="259">
        <f>'FY28'!AF195</f>
        <v>0</v>
      </c>
      <c r="W195" s="259">
        <f>'FY29'!AF195</f>
        <v>0</v>
      </c>
      <c r="X195" s="259">
        <f>'FY30'!AF195</f>
        <v>0</v>
      </c>
      <c r="Z195" s="259">
        <f>'FY26'!AN195</f>
        <v>0</v>
      </c>
      <c r="AA195" s="259">
        <f>'FY27'!AN195</f>
        <v>0</v>
      </c>
      <c r="AB195" s="259">
        <f>'FY28'!AN195</f>
        <v>0</v>
      </c>
      <c r="AC195" s="259">
        <f>'FY29'!AN195</f>
        <v>0</v>
      </c>
      <c r="AD195" s="259">
        <f>'FY30'!AN195</f>
        <v>0</v>
      </c>
      <c r="AF195" s="259">
        <f>'FY26'!AV195</f>
        <v>0</v>
      </c>
      <c r="AG195" s="259">
        <f>'FY27'!AV195</f>
        <v>0</v>
      </c>
      <c r="AH195" s="259">
        <f>'FY28'!AV195</f>
        <v>0</v>
      </c>
      <c r="AI195" s="259">
        <f>'FY29'!AV195</f>
        <v>0</v>
      </c>
      <c r="AJ195" s="259">
        <f>'FY30'!AV195</f>
        <v>0</v>
      </c>
      <c r="AL195" s="259">
        <f>'FY26'!BD195</f>
        <v>0</v>
      </c>
      <c r="AM195" s="259">
        <f>'FY27'!BD195</f>
        <v>0</v>
      </c>
      <c r="AN195" s="259">
        <f>'FY28'!BD195</f>
        <v>0</v>
      </c>
      <c r="AO195" s="259">
        <f>'FY29'!BD195</f>
        <v>0</v>
      </c>
      <c r="AP195" s="259">
        <f>'FY30'!BD195</f>
        <v>0</v>
      </c>
      <c r="AR195" s="259">
        <f>'FY26'!BL195</f>
        <v>0</v>
      </c>
      <c r="AS195" s="259">
        <f>'FY27'!BL195</f>
        <v>0</v>
      </c>
      <c r="AT195" s="259">
        <f>'FY28'!BL195</f>
        <v>0</v>
      </c>
      <c r="AU195" s="259">
        <f>'FY29'!BL195</f>
        <v>0</v>
      </c>
      <c r="AV195" s="259">
        <f>'FY30'!BL195</f>
        <v>0</v>
      </c>
      <c r="AX195" s="259">
        <f>'FY26'!BT195</f>
        <v>0</v>
      </c>
      <c r="AY195" s="259">
        <f>'FY27'!BT195</f>
        <v>0</v>
      </c>
      <c r="AZ195" s="259">
        <f>'FY28'!BT195</f>
        <v>0</v>
      </c>
      <c r="BA195" s="259">
        <f>'FY29'!BT195</f>
        <v>0</v>
      </c>
      <c r="BB195" s="259">
        <f>'FY30'!BT195</f>
        <v>0</v>
      </c>
    </row>
    <row r="196" spans="1:54" x14ac:dyDescent="0.25">
      <c r="A196" s="208" t="s">
        <v>337</v>
      </c>
      <c r="B196" s="260" t="str">
        <f>'FY26'!H196</f>
        <v>Total (25-26)</v>
      </c>
      <c r="C196" s="260" t="str">
        <f>'FY27'!H196</f>
        <v>Horizon</v>
      </c>
      <c r="D196" s="260" t="str">
        <f>'FY28'!H196</f>
        <v>Horizon</v>
      </c>
      <c r="E196" s="260" t="str">
        <f>'FY29'!H196</f>
        <v>Horizon</v>
      </c>
      <c r="F196" s="260" t="str">
        <f>'FY30'!H196</f>
        <v>Horizon</v>
      </c>
      <c r="H196" s="260" t="str">
        <f>'FY26'!P196</f>
        <v>Cadence</v>
      </c>
      <c r="I196" s="260" t="str">
        <f>'FY27'!P196</f>
        <v>Cadence</v>
      </c>
      <c r="J196" s="260" t="str">
        <f>'FY28'!P196</f>
        <v>Cadence</v>
      </c>
      <c r="K196" s="260" t="str">
        <f>'FY29'!P196</f>
        <v>Cadence</v>
      </c>
      <c r="L196" s="260" t="str">
        <f>'FY30'!P196</f>
        <v>Cadence</v>
      </c>
      <c r="N196" s="260" t="str">
        <f>'FY26'!X196</f>
        <v>St. Rose</v>
      </c>
      <c r="O196" s="260" t="str">
        <f>'FY27'!X196</f>
        <v>St. Rose</v>
      </c>
      <c r="P196" s="260" t="str">
        <f>'FY28'!X196</f>
        <v>St. Rose</v>
      </c>
      <c r="Q196" s="260" t="str">
        <f>'FY29'!X196</f>
        <v>St. Rose</v>
      </c>
      <c r="R196" s="260" t="str">
        <f>'FY30'!X196</f>
        <v>St. Rose</v>
      </c>
      <c r="T196" s="260" t="str">
        <f>'FY26'!AF196</f>
        <v>Inspirada</v>
      </c>
      <c r="U196" s="260" t="str">
        <f>'FY27'!AF196</f>
        <v>Inspirada</v>
      </c>
      <c r="V196" s="260" t="str">
        <f>'FY28'!AF196</f>
        <v>Inspirada</v>
      </c>
      <c r="W196" s="260" t="str">
        <f>'FY29'!AF196</f>
        <v>Inspirada</v>
      </c>
      <c r="X196" s="260" t="str">
        <f>'FY30'!AF196</f>
        <v>Inspirada</v>
      </c>
      <c r="Z196" s="260" t="str">
        <f>'FY26'!AN196</f>
        <v>Sloan</v>
      </c>
      <c r="AA196" s="260" t="str">
        <f>'FY27'!AN196</f>
        <v>Sloan</v>
      </c>
      <c r="AB196" s="260" t="str">
        <f>'FY28'!AN196</f>
        <v>Sloan</v>
      </c>
      <c r="AC196" s="260" t="str">
        <f>'FY29'!AN196</f>
        <v>Sloan</v>
      </c>
      <c r="AD196" s="260" t="str">
        <f>'FY30'!AN196</f>
        <v>Sloan</v>
      </c>
      <c r="AF196" s="260" t="str">
        <f>'FY26'!AV196</f>
        <v>Springs</v>
      </c>
      <c r="AG196" s="260" t="str">
        <f>'FY27'!AV196</f>
        <v>Springs</v>
      </c>
      <c r="AH196" s="260" t="str">
        <f>'FY28'!AV196</f>
        <v>Springs</v>
      </c>
      <c r="AI196" s="260" t="str">
        <f>'FY29'!AV196</f>
        <v>Springs</v>
      </c>
      <c r="AJ196" s="260" t="str">
        <f>'FY30'!AV196</f>
        <v>Springs</v>
      </c>
      <c r="AL196" s="260" t="str">
        <f>'FY26'!BD196</f>
        <v>Virtual</v>
      </c>
      <c r="AM196" s="260" t="str">
        <f>'FY27'!BD196</f>
        <v>Virtual</v>
      </c>
      <c r="AN196" s="260" t="str">
        <f>'FY28'!BD196</f>
        <v>Virtual</v>
      </c>
      <c r="AO196" s="260" t="str">
        <f>'FY29'!BD196</f>
        <v>Virtual</v>
      </c>
      <c r="AP196" s="260" t="str">
        <f>'FY30'!BD196</f>
        <v>Virtual</v>
      </c>
      <c r="AR196" s="260" t="str">
        <f>'FY26'!BL196</f>
        <v>Central</v>
      </c>
      <c r="AS196" s="260" t="str">
        <f>'FY27'!BL196</f>
        <v>Central</v>
      </c>
      <c r="AT196" s="260" t="str">
        <f>'FY28'!BL196</f>
        <v>Central</v>
      </c>
      <c r="AU196" s="260" t="str">
        <f>'FY29'!BL196</f>
        <v>Central</v>
      </c>
      <c r="AV196" s="260" t="str">
        <f>'FY30'!BL196</f>
        <v>Central</v>
      </c>
      <c r="AX196" s="260" t="str">
        <f>'FY26'!BT196</f>
        <v>System</v>
      </c>
      <c r="AY196" s="260" t="str">
        <f>'FY27'!BT196</f>
        <v>System</v>
      </c>
      <c r="AZ196" s="260" t="str">
        <f>'FY28'!BT196</f>
        <v>System</v>
      </c>
      <c r="BA196" s="260" t="str">
        <f>'FY29'!BT196</f>
        <v>System</v>
      </c>
      <c r="BB196" s="260" t="str">
        <f>'FY30'!BT196</f>
        <v>System</v>
      </c>
    </row>
    <row r="197" spans="1:54" x14ac:dyDescent="0.25">
      <c r="A197" s="214" t="s">
        <v>294</v>
      </c>
      <c r="B197" s="241">
        <f>'FY26'!H197</f>
        <v>115000</v>
      </c>
      <c r="C197" s="241">
        <f>'FY27'!H197</f>
        <v>117300</v>
      </c>
      <c r="D197" s="241">
        <f>'FY28'!H197</f>
        <v>119646</v>
      </c>
      <c r="E197" s="241">
        <f>'FY29'!H197</f>
        <v>122038.92</v>
      </c>
      <c r="F197" s="241">
        <f>'FY30'!H197</f>
        <v>124479.69839999999</v>
      </c>
      <c r="H197" s="241">
        <f>'FY26'!P197</f>
        <v>275000</v>
      </c>
      <c r="I197" s="241">
        <f>'FY27'!P197</f>
        <v>280500</v>
      </c>
      <c r="J197" s="241">
        <f>'FY28'!P197</f>
        <v>286110</v>
      </c>
      <c r="K197" s="241">
        <f>'FY29'!P197</f>
        <v>291832.2</v>
      </c>
      <c r="L197" s="241">
        <f>'FY30'!P197</f>
        <v>297668.84400000004</v>
      </c>
      <c r="N197" s="241">
        <f>'FY26'!X197</f>
        <v>95000</v>
      </c>
      <c r="O197" s="241">
        <f>'FY27'!X197</f>
        <v>96900</v>
      </c>
      <c r="P197" s="241">
        <f>'FY28'!X197</f>
        <v>98838</v>
      </c>
      <c r="Q197" s="241">
        <f>'FY29'!X197</f>
        <v>100814.76</v>
      </c>
      <c r="R197" s="241">
        <f>'FY30'!X197</f>
        <v>102831.0552</v>
      </c>
      <c r="T197" s="241">
        <f>'FY26'!AF197</f>
        <v>120000</v>
      </c>
      <c r="U197" s="241">
        <f>'FY27'!AF197</f>
        <v>122400</v>
      </c>
      <c r="V197" s="241">
        <f>'FY28'!AF197</f>
        <v>124848</v>
      </c>
      <c r="W197" s="241">
        <f>'FY29'!AF197</f>
        <v>127344.96000000001</v>
      </c>
      <c r="X197" s="241">
        <f>'FY30'!AF197</f>
        <v>129891.85920000001</v>
      </c>
      <c r="Z197" s="241">
        <f>'FY26'!AN197</f>
        <v>275000</v>
      </c>
      <c r="AA197" s="241">
        <f>'FY27'!AN197</f>
        <v>280500</v>
      </c>
      <c r="AB197" s="241">
        <f>'FY28'!AN197</f>
        <v>286110</v>
      </c>
      <c r="AC197" s="241">
        <f>'FY29'!AN197</f>
        <v>291832.2</v>
      </c>
      <c r="AD197" s="241">
        <f>'FY30'!AN197</f>
        <v>297668.84400000004</v>
      </c>
      <c r="AF197" s="241">
        <f>'FY26'!AV197</f>
        <v>10000</v>
      </c>
      <c r="AG197" s="241">
        <f>'FY27'!AV197</f>
        <v>90000</v>
      </c>
      <c r="AH197" s="241">
        <f>'FY28'!AV197</f>
        <v>92700</v>
      </c>
      <c r="AI197" s="241">
        <f>'FY29'!AV197</f>
        <v>94554</v>
      </c>
      <c r="AJ197" s="241">
        <f>'FY30'!AV197</f>
        <v>96445.08</v>
      </c>
      <c r="AL197" s="241">
        <f>'FY26'!BD197</f>
        <v>0</v>
      </c>
      <c r="AM197" s="241">
        <f>'FY27'!BD197</f>
        <v>0</v>
      </c>
      <c r="AN197" s="241">
        <f>'FY28'!BD197</f>
        <v>0</v>
      </c>
      <c r="AO197" s="241">
        <f>'FY29'!BD197</f>
        <v>0</v>
      </c>
      <c r="AP197" s="241">
        <f>'FY30'!BD197</f>
        <v>0</v>
      </c>
      <c r="AR197" s="241">
        <f>'FY26'!BL197</f>
        <v>0</v>
      </c>
      <c r="AS197" s="241">
        <f>'FY27'!BL197</f>
        <v>0</v>
      </c>
      <c r="AT197" s="241">
        <f>'FY28'!BL197</f>
        <v>0</v>
      </c>
      <c r="AU197" s="241">
        <f>'FY29'!BL197</f>
        <v>0</v>
      </c>
      <c r="AV197" s="241">
        <f>'FY30'!BL197</f>
        <v>0</v>
      </c>
      <c r="AX197" s="241">
        <f>'FY26'!BT197</f>
        <v>890000</v>
      </c>
      <c r="AY197" s="241">
        <f>'FY27'!BT197</f>
        <v>987600</v>
      </c>
      <c r="AZ197" s="241">
        <f>'FY28'!BT197</f>
        <v>1008252</v>
      </c>
      <c r="BA197" s="241">
        <f>'FY29'!BT197</f>
        <v>1028417.04</v>
      </c>
      <c r="BB197" s="241">
        <f>'FY30'!BT197</f>
        <v>1048985.3808000002</v>
      </c>
    </row>
    <row r="198" spans="1:54" x14ac:dyDescent="0.25">
      <c r="A198" s="211" t="s">
        <v>295</v>
      </c>
      <c r="B198" s="241">
        <f>'FY26'!H198</f>
        <v>8000</v>
      </c>
      <c r="C198" s="241">
        <f>'FY27'!H198</f>
        <v>8160</v>
      </c>
      <c r="D198" s="241">
        <f>'FY28'!H198</f>
        <v>8323.2000000000007</v>
      </c>
      <c r="E198" s="241">
        <f>'FY29'!H198</f>
        <v>8489.6640000000007</v>
      </c>
      <c r="F198" s="241">
        <f>'FY30'!H198</f>
        <v>8659.4572800000005</v>
      </c>
      <c r="H198" s="241">
        <f>'FY26'!P198</f>
        <v>0</v>
      </c>
      <c r="I198" s="241">
        <f>'FY27'!P198</f>
        <v>0</v>
      </c>
      <c r="J198" s="241">
        <f>'FY28'!P198</f>
        <v>0</v>
      </c>
      <c r="K198" s="241">
        <f>'FY29'!P198</f>
        <v>0</v>
      </c>
      <c r="L198" s="241">
        <f>'FY30'!P198</f>
        <v>0</v>
      </c>
      <c r="N198" s="241">
        <f>'FY26'!X198</f>
        <v>0</v>
      </c>
      <c r="O198" s="241">
        <f>'FY27'!X198</f>
        <v>0</v>
      </c>
      <c r="P198" s="241">
        <f>'FY28'!X198</f>
        <v>0</v>
      </c>
      <c r="Q198" s="241">
        <f>'FY29'!X198</f>
        <v>0</v>
      </c>
      <c r="R198" s="241">
        <f>'FY30'!X198</f>
        <v>0</v>
      </c>
      <c r="T198" s="241">
        <f>'FY26'!AF198</f>
        <v>0</v>
      </c>
      <c r="U198" s="241">
        <f>'FY27'!AF198</f>
        <v>0</v>
      </c>
      <c r="V198" s="241">
        <f>'FY28'!AF198</f>
        <v>0</v>
      </c>
      <c r="W198" s="241">
        <f>'FY29'!AF198</f>
        <v>0</v>
      </c>
      <c r="X198" s="241">
        <f>'FY30'!AF198</f>
        <v>0</v>
      </c>
      <c r="Z198" s="241">
        <f>'FY26'!AN198</f>
        <v>0</v>
      </c>
      <c r="AA198" s="241">
        <f>'FY27'!AN198</f>
        <v>0</v>
      </c>
      <c r="AB198" s="241">
        <f>'FY28'!AN198</f>
        <v>0</v>
      </c>
      <c r="AC198" s="241">
        <f>'FY29'!AN198</f>
        <v>0</v>
      </c>
      <c r="AD198" s="241">
        <f>'FY30'!AN198</f>
        <v>0</v>
      </c>
      <c r="AF198" s="241">
        <f>'FY26'!AV198</f>
        <v>1200</v>
      </c>
      <c r="AG198" s="241">
        <f>'FY27'!AV198</f>
        <v>0</v>
      </c>
      <c r="AH198" s="241">
        <f>'FY28'!AV198</f>
        <v>0</v>
      </c>
      <c r="AI198" s="241">
        <f>'FY29'!AV198</f>
        <v>0</v>
      </c>
      <c r="AJ198" s="241">
        <f>'FY30'!AV198</f>
        <v>0</v>
      </c>
      <c r="AL198" s="241">
        <f>'FY26'!BD198</f>
        <v>0</v>
      </c>
      <c r="AM198" s="241">
        <f>'FY27'!BD198</f>
        <v>0</v>
      </c>
      <c r="AN198" s="241">
        <f>'FY28'!BD198</f>
        <v>0</v>
      </c>
      <c r="AO198" s="241">
        <f>'FY29'!BD198</f>
        <v>0</v>
      </c>
      <c r="AP198" s="241">
        <f>'FY30'!BD198</f>
        <v>0</v>
      </c>
      <c r="AR198" s="241">
        <f>'FY26'!BL198</f>
        <v>0</v>
      </c>
      <c r="AS198" s="241">
        <f>'FY27'!BL198</f>
        <v>0</v>
      </c>
      <c r="AT198" s="241">
        <f>'FY28'!BL198</f>
        <v>0</v>
      </c>
      <c r="AU198" s="241">
        <f>'FY29'!BL198</f>
        <v>0</v>
      </c>
      <c r="AV198" s="241">
        <f>'FY30'!BL198</f>
        <v>0</v>
      </c>
      <c r="AX198" s="241">
        <f>'FY26'!BT198</f>
        <v>9200</v>
      </c>
      <c r="AY198" s="241">
        <f>'FY27'!BT198</f>
        <v>8160</v>
      </c>
      <c r="AZ198" s="241">
        <f>'FY28'!BT198</f>
        <v>8323.2000000000007</v>
      </c>
      <c r="BA198" s="241">
        <f>'FY29'!BT198</f>
        <v>8489.6640000000007</v>
      </c>
      <c r="BB198" s="241">
        <f>'FY30'!BT198</f>
        <v>8659.4572800000005</v>
      </c>
    </row>
    <row r="199" spans="1:54" x14ac:dyDescent="0.25">
      <c r="A199" s="211" t="s">
        <v>296</v>
      </c>
      <c r="B199" s="241">
        <f>'FY26'!H199</f>
        <v>32500</v>
      </c>
      <c r="C199" s="241">
        <f>'FY27'!H199</f>
        <v>33150</v>
      </c>
      <c r="D199" s="241">
        <f>'FY28'!H199</f>
        <v>33813</v>
      </c>
      <c r="E199" s="241">
        <f>'FY29'!H199</f>
        <v>34489.26</v>
      </c>
      <c r="F199" s="241">
        <f>'FY30'!H199</f>
        <v>35179.0452</v>
      </c>
      <c r="H199" s="241">
        <f>'FY26'!P199</f>
        <v>50000</v>
      </c>
      <c r="I199" s="241">
        <f>'FY27'!P199</f>
        <v>51000</v>
      </c>
      <c r="J199" s="241">
        <f>'FY28'!P199</f>
        <v>51510</v>
      </c>
      <c r="K199" s="241">
        <f>'FY29'!P199</f>
        <v>52282.649999999994</v>
      </c>
      <c r="L199" s="241">
        <f>'FY30'!P199</f>
        <v>53328.302999999993</v>
      </c>
      <c r="N199" s="241">
        <f>'FY26'!X199</f>
        <v>45600</v>
      </c>
      <c r="O199" s="241">
        <f>'FY27'!X199</f>
        <v>46512</v>
      </c>
      <c r="P199" s="241">
        <f>'FY28'!X199</f>
        <v>47442.239999999998</v>
      </c>
      <c r="Q199" s="241">
        <f>'FY29'!X199</f>
        <v>48391.084799999997</v>
      </c>
      <c r="R199" s="241">
        <f>'FY30'!X199</f>
        <v>49358.906495999996</v>
      </c>
      <c r="T199" s="241">
        <f>'FY26'!AF199</f>
        <v>20000</v>
      </c>
      <c r="U199" s="241">
        <f>'FY27'!AF199</f>
        <v>20400</v>
      </c>
      <c r="V199" s="241">
        <f>'FY28'!AF199</f>
        <v>20604</v>
      </c>
      <c r="W199" s="241">
        <f>'FY29'!AF199</f>
        <v>21016.080000000002</v>
      </c>
      <c r="X199" s="241">
        <f>'FY30'!AF199</f>
        <v>21436.401600000001</v>
      </c>
      <c r="Z199" s="241">
        <f>'FY26'!AN199</f>
        <v>40000</v>
      </c>
      <c r="AA199" s="241">
        <f>'FY27'!AN199</f>
        <v>40800</v>
      </c>
      <c r="AB199" s="241">
        <f>'FY28'!AN199</f>
        <v>41616</v>
      </c>
      <c r="AC199" s="241">
        <f>'FY29'!AN199</f>
        <v>42448.32</v>
      </c>
      <c r="AD199" s="241">
        <f>'FY30'!AN199</f>
        <v>43297.286399999997</v>
      </c>
      <c r="AF199" s="241">
        <f>'FY26'!AV199</f>
        <v>17000</v>
      </c>
      <c r="AG199" s="241">
        <f>'FY27'!AV199</f>
        <v>26000</v>
      </c>
      <c r="AH199" s="241">
        <f>'FY28'!AV199</f>
        <v>26780</v>
      </c>
      <c r="AI199" s="241">
        <f>'FY29'!AV199</f>
        <v>27315.600000000002</v>
      </c>
      <c r="AJ199" s="241">
        <f>'FY30'!AV199</f>
        <v>27861.912000000004</v>
      </c>
      <c r="AL199" s="241">
        <f>'FY26'!BD199</f>
        <v>0</v>
      </c>
      <c r="AM199" s="241">
        <f>'FY27'!BD199</f>
        <v>0</v>
      </c>
      <c r="AN199" s="241">
        <f>'FY28'!BD199</f>
        <v>0</v>
      </c>
      <c r="AO199" s="241">
        <f>'FY29'!BD199</f>
        <v>0</v>
      </c>
      <c r="AP199" s="241">
        <f>'FY30'!BD199</f>
        <v>0</v>
      </c>
      <c r="AR199" s="241">
        <f>'FY26'!BL199</f>
        <v>0</v>
      </c>
      <c r="AS199" s="241">
        <f>'FY27'!BL199</f>
        <v>0</v>
      </c>
      <c r="AT199" s="241">
        <f>'FY28'!BL199</f>
        <v>0</v>
      </c>
      <c r="AU199" s="241">
        <f>'FY29'!BL199</f>
        <v>0</v>
      </c>
      <c r="AV199" s="241">
        <f>'FY30'!BL199</f>
        <v>0</v>
      </c>
      <c r="AX199" s="241">
        <f>'FY26'!BT199</f>
        <v>205100</v>
      </c>
      <c r="AY199" s="241">
        <f>'FY27'!BT199</f>
        <v>217862</v>
      </c>
      <c r="AZ199" s="241">
        <f>'FY28'!BT199</f>
        <v>221765.24</v>
      </c>
      <c r="BA199" s="241">
        <f>'FY29'!BT199</f>
        <v>225942.99480000001</v>
      </c>
      <c r="BB199" s="241">
        <f>'FY30'!BT199</f>
        <v>230461.85469599999</v>
      </c>
    </row>
    <row r="200" spans="1:54" x14ac:dyDescent="0.25">
      <c r="A200" s="211" t="s">
        <v>297</v>
      </c>
      <c r="B200" s="241">
        <f>'FY26'!H200</f>
        <v>24000</v>
      </c>
      <c r="C200" s="241">
        <f>'FY27'!H200</f>
        <v>24480</v>
      </c>
      <c r="D200" s="241">
        <f>'FY28'!H200</f>
        <v>24969.600000000002</v>
      </c>
      <c r="E200" s="241">
        <f>'FY29'!H200</f>
        <v>25468.992000000002</v>
      </c>
      <c r="F200" s="241">
        <f>'FY30'!H200</f>
        <v>25978.371840000003</v>
      </c>
      <c r="H200" s="241">
        <f>'FY26'!P200</f>
        <v>65000</v>
      </c>
      <c r="I200" s="241">
        <f>'FY27'!P200</f>
        <v>66300</v>
      </c>
      <c r="J200" s="241">
        <f>'FY28'!P200</f>
        <v>67626</v>
      </c>
      <c r="K200" s="241">
        <f>'FY29'!P200</f>
        <v>68978.52</v>
      </c>
      <c r="L200" s="241">
        <f>'FY30'!P200</f>
        <v>70358.090400000001</v>
      </c>
      <c r="N200" s="241">
        <f>'FY26'!X200</f>
        <v>19000</v>
      </c>
      <c r="O200" s="241">
        <f>'FY27'!X200</f>
        <v>19380</v>
      </c>
      <c r="P200" s="241">
        <f>'FY28'!X200</f>
        <v>19767.599999999999</v>
      </c>
      <c r="Q200" s="241">
        <f>'FY29'!X200</f>
        <v>20162.951999999997</v>
      </c>
      <c r="R200" s="241">
        <f>'FY30'!X200</f>
        <v>20566.211039999998</v>
      </c>
      <c r="T200" s="241">
        <f>'FY26'!AF200</f>
        <v>33000</v>
      </c>
      <c r="U200" s="241">
        <f>'FY27'!AF200</f>
        <v>33660</v>
      </c>
      <c r="V200" s="241">
        <f>'FY28'!AF200</f>
        <v>33996.6</v>
      </c>
      <c r="W200" s="241">
        <f>'FY29'!AF200</f>
        <v>34676.531999999999</v>
      </c>
      <c r="X200" s="241">
        <f>'FY30'!AF200</f>
        <v>35370.062639999996</v>
      </c>
      <c r="Z200" s="241">
        <f>'FY26'!AN200</f>
        <v>62500</v>
      </c>
      <c r="AA200" s="241">
        <f>'FY27'!AN200</f>
        <v>63750</v>
      </c>
      <c r="AB200" s="241">
        <f>'FY28'!AN200</f>
        <v>65025</v>
      </c>
      <c r="AC200" s="241">
        <f>'FY29'!AN200</f>
        <v>66325.5</v>
      </c>
      <c r="AD200" s="241">
        <f>'FY30'!AN200</f>
        <v>67652.009999999995</v>
      </c>
      <c r="AF200" s="241">
        <f>'FY26'!AV200</f>
        <v>7500</v>
      </c>
      <c r="AG200" s="241">
        <f>'FY27'!AV200</f>
        <v>22500</v>
      </c>
      <c r="AH200" s="241">
        <f>'FY28'!AV200</f>
        <v>23175</v>
      </c>
      <c r="AI200" s="241">
        <f>'FY29'!AV200</f>
        <v>23638.5</v>
      </c>
      <c r="AJ200" s="241">
        <f>'FY30'!AV200</f>
        <v>24111.27</v>
      </c>
      <c r="AL200" s="241">
        <f>'FY26'!BD200</f>
        <v>0</v>
      </c>
      <c r="AM200" s="241">
        <f>'FY27'!BD200</f>
        <v>0</v>
      </c>
      <c r="AN200" s="241">
        <f>'FY28'!BD200</f>
        <v>0</v>
      </c>
      <c r="AO200" s="241">
        <f>'FY29'!BD200</f>
        <v>0</v>
      </c>
      <c r="AP200" s="241">
        <f>'FY30'!BD200</f>
        <v>0</v>
      </c>
      <c r="AR200" s="241">
        <f>'FY26'!BL200</f>
        <v>0</v>
      </c>
      <c r="AS200" s="241">
        <f>'FY27'!BL200</f>
        <v>0</v>
      </c>
      <c r="AT200" s="241">
        <f>'FY28'!BL200</f>
        <v>0</v>
      </c>
      <c r="AU200" s="241">
        <f>'FY29'!BL200</f>
        <v>0</v>
      </c>
      <c r="AV200" s="241">
        <f>'FY30'!BL200</f>
        <v>0</v>
      </c>
      <c r="AX200" s="241">
        <f>'FY26'!BT200</f>
        <v>211000</v>
      </c>
      <c r="AY200" s="241">
        <f>'FY27'!BT200</f>
        <v>230070</v>
      </c>
      <c r="AZ200" s="241">
        <f>'FY28'!BT200</f>
        <v>234559.80000000002</v>
      </c>
      <c r="BA200" s="241">
        <f>'FY29'!BT200</f>
        <v>239250.99600000001</v>
      </c>
      <c r="BB200" s="241">
        <f>'FY30'!BT200</f>
        <v>244036.01592000001</v>
      </c>
    </row>
    <row r="201" spans="1:54" x14ac:dyDescent="0.25">
      <c r="A201" s="211" t="s">
        <v>298</v>
      </c>
      <c r="B201" s="241">
        <f>'FY26'!H201</f>
        <v>12500</v>
      </c>
      <c r="C201" s="241">
        <f>'FY27'!H201</f>
        <v>12750</v>
      </c>
      <c r="D201" s="241">
        <f>'FY28'!H201</f>
        <v>13005</v>
      </c>
      <c r="E201" s="241">
        <f>'FY29'!H201</f>
        <v>13265.1</v>
      </c>
      <c r="F201" s="241">
        <f>'FY30'!H201</f>
        <v>13530.402</v>
      </c>
      <c r="H201" s="241">
        <f>'FY26'!P201</f>
        <v>33000</v>
      </c>
      <c r="I201" s="241">
        <f>'FY27'!P201</f>
        <v>33660</v>
      </c>
      <c r="J201" s="241">
        <f>'FY28'!P201</f>
        <v>33996.6</v>
      </c>
      <c r="K201" s="241">
        <f>'FY29'!P201</f>
        <v>34506.548999999992</v>
      </c>
      <c r="L201" s="241">
        <f>'FY30'!P201</f>
        <v>35196.679979999994</v>
      </c>
      <c r="N201" s="241">
        <f>'FY26'!X201</f>
        <v>8500</v>
      </c>
      <c r="O201" s="241">
        <f>'FY27'!X201</f>
        <v>8670</v>
      </c>
      <c r="P201" s="241">
        <f>'FY28'!X201</f>
        <v>8843.4</v>
      </c>
      <c r="Q201" s="241">
        <f>'FY29'!X201</f>
        <v>9020.268</v>
      </c>
      <c r="R201" s="241">
        <f>'FY30'!X201</f>
        <v>9200.6733600000007</v>
      </c>
      <c r="T201" s="241">
        <f>'FY26'!AF201</f>
        <v>15000</v>
      </c>
      <c r="U201" s="241">
        <f>'FY27'!AF201</f>
        <v>15300</v>
      </c>
      <c r="V201" s="241">
        <f>'FY28'!AF201</f>
        <v>15606</v>
      </c>
      <c r="W201" s="241">
        <f>'FY29'!AF201</f>
        <v>15918.12</v>
      </c>
      <c r="X201" s="241">
        <f>'FY30'!AF201</f>
        <v>16236.482400000001</v>
      </c>
      <c r="Z201" s="241">
        <f>'FY26'!AN201</f>
        <v>16000</v>
      </c>
      <c r="AA201" s="241">
        <f>'FY27'!AN201</f>
        <v>16320</v>
      </c>
      <c r="AB201" s="241">
        <f>'FY28'!AN201</f>
        <v>16646.400000000001</v>
      </c>
      <c r="AC201" s="241">
        <f>'FY29'!AN201</f>
        <v>16979.328000000001</v>
      </c>
      <c r="AD201" s="241">
        <f>'FY30'!AN201</f>
        <v>17318.914560000001</v>
      </c>
      <c r="AF201" s="241">
        <f>'FY26'!AV201</f>
        <v>7500</v>
      </c>
      <c r="AG201" s="241">
        <f>'FY27'!AV201</f>
        <v>12000</v>
      </c>
      <c r="AH201" s="241">
        <f>'FY28'!AV201</f>
        <v>12240</v>
      </c>
      <c r="AI201" s="241">
        <f>'FY29'!AV201</f>
        <v>12484.800000000001</v>
      </c>
      <c r="AJ201" s="241">
        <f>'FY30'!AV201</f>
        <v>12734.496000000001</v>
      </c>
      <c r="AL201" s="241">
        <f>'FY26'!BD201</f>
        <v>0</v>
      </c>
      <c r="AM201" s="241">
        <f>'FY27'!BD201</f>
        <v>0</v>
      </c>
      <c r="AN201" s="241">
        <f>'FY28'!BD201</f>
        <v>0</v>
      </c>
      <c r="AO201" s="241">
        <f>'FY29'!BD201</f>
        <v>0</v>
      </c>
      <c r="AP201" s="241">
        <f>'FY30'!BD201</f>
        <v>0</v>
      </c>
      <c r="AR201" s="241">
        <f>'FY26'!BL201</f>
        <v>0</v>
      </c>
      <c r="AS201" s="241">
        <f>'FY27'!BL201</f>
        <v>0</v>
      </c>
      <c r="AT201" s="241">
        <f>'FY28'!BL201</f>
        <v>0</v>
      </c>
      <c r="AU201" s="241">
        <f>'FY29'!BL201</f>
        <v>0</v>
      </c>
      <c r="AV201" s="241">
        <f>'FY30'!BL201</f>
        <v>0</v>
      </c>
      <c r="AX201" s="241">
        <f>'FY26'!BT201</f>
        <v>92500</v>
      </c>
      <c r="AY201" s="241">
        <f>'FY27'!BT201</f>
        <v>98700</v>
      </c>
      <c r="AZ201" s="241">
        <f>'FY28'!BT201</f>
        <v>100337.4</v>
      </c>
      <c r="BA201" s="241">
        <f>'FY29'!BT201</f>
        <v>102174.16499999999</v>
      </c>
      <c r="BB201" s="241">
        <f>'FY30'!BT201</f>
        <v>104217.6483</v>
      </c>
    </row>
    <row r="202" spans="1:54" x14ac:dyDescent="0.25">
      <c r="A202" s="211" t="s">
        <v>299</v>
      </c>
      <c r="B202" s="241">
        <f>'FY26'!H202</f>
        <v>120055</v>
      </c>
      <c r="C202" s="241">
        <f>'FY27'!H202</f>
        <v>126057.75</v>
      </c>
      <c r="D202" s="241">
        <f>'FY28'!H202</f>
        <v>129839.4825</v>
      </c>
      <c r="E202" s="241">
        <f>'FY29'!H202</f>
        <v>133734.666975</v>
      </c>
      <c r="F202" s="241">
        <f>'FY30'!H202</f>
        <v>137746.70698424999</v>
      </c>
      <c r="H202" s="241">
        <f>'FY26'!P202</f>
        <v>285725</v>
      </c>
      <c r="I202" s="241">
        <f>'FY27'!P202</f>
        <v>300011.25</v>
      </c>
      <c r="J202" s="241">
        <f>'FY28'!P202</f>
        <v>309011.58750000002</v>
      </c>
      <c r="K202" s="241">
        <f>'FY29'!P202</f>
        <v>321372.05100000004</v>
      </c>
      <c r="L202" s="241">
        <f>'FY30'!P202</f>
        <v>331013.21253000002</v>
      </c>
      <c r="N202" s="241">
        <f>'FY26'!X202</f>
        <v>101010</v>
      </c>
      <c r="O202" s="241">
        <f>'FY27'!X202</f>
        <v>106060.5</v>
      </c>
      <c r="P202" s="241">
        <f>'FY28'!X202</f>
        <v>109242.315</v>
      </c>
      <c r="Q202" s="241">
        <f>'FY29'!X202</f>
        <v>112519.58445000001</v>
      </c>
      <c r="R202" s="241">
        <f>'FY30'!X202</f>
        <v>115895.17198350001</v>
      </c>
      <c r="T202" s="241">
        <f>'FY26'!AF202</f>
        <v>116350</v>
      </c>
      <c r="U202" s="241">
        <f>'FY27'!AF202</f>
        <v>122167.5</v>
      </c>
      <c r="V202" s="241">
        <f>'FY28'!AF202</f>
        <v>125832.52500000001</v>
      </c>
      <c r="W202" s="241">
        <f>'FY29'!AF202</f>
        <v>130236.663375</v>
      </c>
      <c r="X202" s="241">
        <f>'FY30'!AF202</f>
        <v>134143.76327625001</v>
      </c>
      <c r="Z202" s="241">
        <f>'FY26'!AN202</f>
        <v>493500</v>
      </c>
      <c r="AA202" s="241">
        <f>'FY27'!AN202</f>
        <v>494000</v>
      </c>
      <c r="AB202" s="241">
        <f>'FY28'!AN202</f>
        <v>508820</v>
      </c>
      <c r="AC202" s="241">
        <f>'FY29'!AN202</f>
        <v>524084.60000000003</v>
      </c>
      <c r="AD202" s="241">
        <f>'FY30'!AN202</f>
        <v>539807.13800000004</v>
      </c>
      <c r="AF202" s="241">
        <f>'FY26'!AV202</f>
        <v>54600</v>
      </c>
      <c r="AG202" s="241">
        <f>'FY27'!AV202</f>
        <v>90000</v>
      </c>
      <c r="AH202" s="241">
        <f>'FY28'!AV202</f>
        <v>93600</v>
      </c>
      <c r="AI202" s="241">
        <f>'FY29'!AV202</f>
        <v>96408</v>
      </c>
      <c r="AJ202" s="241">
        <f>'FY30'!AV202</f>
        <v>99300.24</v>
      </c>
      <c r="AL202" s="241">
        <f>'FY26'!BD202</f>
        <v>0</v>
      </c>
      <c r="AM202" s="241">
        <f>'FY27'!BD202</f>
        <v>0</v>
      </c>
      <c r="AN202" s="241">
        <f>'FY28'!BD202</f>
        <v>0</v>
      </c>
      <c r="AO202" s="241">
        <f>'FY29'!BD202</f>
        <v>0</v>
      </c>
      <c r="AP202" s="241">
        <f>'FY30'!BD202</f>
        <v>0</v>
      </c>
      <c r="AR202" s="241">
        <f>'FY26'!BL202</f>
        <v>0</v>
      </c>
      <c r="AS202" s="241">
        <f>'FY27'!BL202</f>
        <v>0</v>
      </c>
      <c r="AT202" s="241">
        <f>'FY28'!BL202</f>
        <v>0</v>
      </c>
      <c r="AU202" s="241">
        <f>'FY29'!BL202</f>
        <v>0</v>
      </c>
      <c r="AV202" s="241">
        <f>'FY30'!BL202</f>
        <v>0</v>
      </c>
      <c r="AX202" s="241">
        <f>'FY26'!BT202</f>
        <v>1171240</v>
      </c>
      <c r="AY202" s="241">
        <f>'FY27'!BT202</f>
        <v>1238297</v>
      </c>
      <c r="AZ202" s="241">
        <f>'FY28'!BT202</f>
        <v>1276345.9100000001</v>
      </c>
      <c r="BA202" s="241">
        <f>'FY29'!BT202</f>
        <v>1318355.5658</v>
      </c>
      <c r="BB202" s="241">
        <f>'FY30'!BT202</f>
        <v>1357906.2327739999</v>
      </c>
    </row>
    <row r="203" spans="1:54" x14ac:dyDescent="0.25">
      <c r="A203" s="211" t="s">
        <v>300</v>
      </c>
      <c r="B203" s="241">
        <f>'FY26'!H203</f>
        <v>100000</v>
      </c>
      <c r="C203" s="241">
        <f>'FY27'!H203</f>
        <v>105000</v>
      </c>
      <c r="D203" s="241">
        <f>'FY28'!H203</f>
        <v>110000</v>
      </c>
      <c r="E203" s="241">
        <f>'FY29'!H203</f>
        <v>115000</v>
      </c>
      <c r="F203" s="241">
        <f>'FY30'!H203</f>
        <v>120000</v>
      </c>
      <c r="H203" s="241">
        <f>'FY26'!P203</f>
        <v>225000</v>
      </c>
      <c r="I203" s="241">
        <f>'FY27'!P203</f>
        <v>235000</v>
      </c>
      <c r="J203" s="241">
        <f>'FY28'!P203</f>
        <v>245000</v>
      </c>
      <c r="K203" s="241">
        <f>'FY29'!P203</f>
        <v>255000</v>
      </c>
      <c r="L203" s="241">
        <f>'FY30'!P203</f>
        <v>256000</v>
      </c>
      <c r="N203" s="241">
        <f>'FY26'!X203</f>
        <v>105000</v>
      </c>
      <c r="O203" s="241">
        <f>'FY27'!X203</f>
        <v>110000</v>
      </c>
      <c r="P203" s="241">
        <f>'FY28'!X203</f>
        <v>115000</v>
      </c>
      <c r="Q203" s="241">
        <f>'FY29'!X203</f>
        <v>120000</v>
      </c>
      <c r="R203" s="241">
        <f>'FY30'!X203</f>
        <v>125000</v>
      </c>
      <c r="T203" s="241">
        <f>'FY26'!AF203</f>
        <v>150000</v>
      </c>
      <c r="U203" s="241">
        <f>'FY27'!AF203</f>
        <v>155000</v>
      </c>
      <c r="V203" s="241">
        <f>'FY28'!AF203</f>
        <v>160000</v>
      </c>
      <c r="W203" s="241">
        <f>'FY29'!AF203</f>
        <v>165000</v>
      </c>
      <c r="X203" s="241">
        <f>'FY30'!AF203</f>
        <v>172500</v>
      </c>
      <c r="Z203" s="241">
        <f>'FY26'!AN203</f>
        <v>1165000</v>
      </c>
      <c r="AA203" s="241">
        <f>'FY27'!AN203</f>
        <v>170000</v>
      </c>
      <c r="AB203" s="241">
        <f>'FY28'!AN203</f>
        <v>175000</v>
      </c>
      <c r="AC203" s="241">
        <f>'FY29'!AN203</f>
        <v>180000</v>
      </c>
      <c r="AD203" s="241">
        <f>'FY30'!AN203</f>
        <v>190000</v>
      </c>
      <c r="AF203" s="241">
        <f>'FY26'!AV203</f>
        <v>50000</v>
      </c>
      <c r="AG203" s="241">
        <f>'FY27'!AV203</f>
        <v>55000</v>
      </c>
      <c r="AH203" s="241">
        <f>'FY28'!AV203</f>
        <v>65000</v>
      </c>
      <c r="AI203" s="241">
        <f>'FY29'!AV203</f>
        <v>70000</v>
      </c>
      <c r="AJ203" s="241">
        <f>'FY30'!AV203</f>
        <v>75000</v>
      </c>
      <c r="AL203" s="241">
        <f>'FY26'!BD203</f>
        <v>0</v>
      </c>
      <c r="AM203" s="241">
        <f>'FY27'!BD203</f>
        <v>0</v>
      </c>
      <c r="AN203" s="241">
        <f>'FY28'!BD203</f>
        <v>0</v>
      </c>
      <c r="AO203" s="241">
        <f>'FY29'!BD203</f>
        <v>0</v>
      </c>
      <c r="AP203" s="241">
        <f>'FY30'!BD203</f>
        <v>0</v>
      </c>
      <c r="AR203" s="241">
        <f>'FY26'!BL203</f>
        <v>0</v>
      </c>
      <c r="AS203" s="241">
        <f>'FY27'!BL203</f>
        <v>0</v>
      </c>
      <c r="AT203" s="241">
        <f>'FY28'!BL203</f>
        <v>0</v>
      </c>
      <c r="AU203" s="241">
        <f>'FY29'!BL203</f>
        <v>0</v>
      </c>
      <c r="AV203" s="241">
        <f>'FY30'!BL203</f>
        <v>0</v>
      </c>
      <c r="AX203" s="241">
        <f>'FY26'!BT203</f>
        <v>1795000</v>
      </c>
      <c r="AY203" s="241">
        <f>'FY27'!BT203</f>
        <v>830000</v>
      </c>
      <c r="AZ203" s="241">
        <f>'FY28'!BT203</f>
        <v>870000</v>
      </c>
      <c r="BA203" s="241">
        <f>'FY29'!BT203</f>
        <v>905000</v>
      </c>
      <c r="BB203" s="241">
        <f>'FY30'!BT203</f>
        <v>938500</v>
      </c>
    </row>
    <row r="204" spans="1:54" x14ac:dyDescent="0.25">
      <c r="A204" s="211" t="s">
        <v>301</v>
      </c>
      <c r="B204" s="241">
        <f>'FY26'!H204</f>
        <v>0</v>
      </c>
      <c r="C204" s="241">
        <f>'FY27'!H204</f>
        <v>0</v>
      </c>
      <c r="D204" s="241">
        <f>'FY28'!H204</f>
        <v>0</v>
      </c>
      <c r="E204" s="241">
        <f>'FY29'!H204</f>
        <v>0</v>
      </c>
      <c r="F204" s="241">
        <f>'FY30'!H204</f>
        <v>0</v>
      </c>
      <c r="H204" s="241">
        <f>'FY26'!P204</f>
        <v>0</v>
      </c>
      <c r="I204" s="241">
        <f>'FY27'!P204</f>
        <v>0</v>
      </c>
      <c r="J204" s="241">
        <f>'FY28'!P204</f>
        <v>0</v>
      </c>
      <c r="K204" s="241">
        <f>'FY29'!P204</f>
        <v>0</v>
      </c>
      <c r="L204" s="241">
        <f>'FY30'!P204</f>
        <v>0</v>
      </c>
      <c r="N204" s="241">
        <f>'FY26'!X204</f>
        <v>0</v>
      </c>
      <c r="O204" s="241">
        <f>'FY27'!X204</f>
        <v>0</v>
      </c>
      <c r="P204" s="241">
        <f>'FY28'!X204</f>
        <v>0</v>
      </c>
      <c r="Q204" s="241">
        <f>'FY29'!X204</f>
        <v>0</v>
      </c>
      <c r="R204" s="241">
        <f>'FY30'!X204</f>
        <v>0</v>
      </c>
      <c r="T204" s="241">
        <f>'FY26'!AF204</f>
        <v>0</v>
      </c>
      <c r="U204" s="241">
        <f>'FY27'!AF204</f>
        <v>0</v>
      </c>
      <c r="V204" s="241">
        <f>'FY28'!AF204</f>
        <v>0</v>
      </c>
      <c r="W204" s="241">
        <f>'FY29'!AF204</f>
        <v>0</v>
      </c>
      <c r="X204" s="241">
        <f>'FY30'!AF204</f>
        <v>0</v>
      </c>
      <c r="Z204" s="241">
        <f>'FY26'!AN204</f>
        <v>0</v>
      </c>
      <c r="AA204" s="241">
        <f>'FY27'!AN204</f>
        <v>0</v>
      </c>
      <c r="AB204" s="241">
        <f>'FY28'!AN204</f>
        <v>0</v>
      </c>
      <c r="AC204" s="241">
        <f>'FY29'!AN204</f>
        <v>0</v>
      </c>
      <c r="AD204" s="241">
        <f>'FY30'!AN204</f>
        <v>0</v>
      </c>
      <c r="AF204" s="241">
        <f>'FY26'!AV204</f>
        <v>0</v>
      </c>
      <c r="AG204" s="241">
        <f>'FY27'!AV204</f>
        <v>0</v>
      </c>
      <c r="AH204" s="241">
        <f>'FY28'!AV204</f>
        <v>0</v>
      </c>
      <c r="AI204" s="241">
        <f>'FY29'!AV204</f>
        <v>0</v>
      </c>
      <c r="AJ204" s="241">
        <f>'FY30'!AV204</f>
        <v>0</v>
      </c>
      <c r="AL204" s="241">
        <f>'FY26'!BD204</f>
        <v>0</v>
      </c>
      <c r="AM204" s="241">
        <f>'FY27'!BD204</f>
        <v>0</v>
      </c>
      <c r="AN204" s="241">
        <f>'FY28'!BD204</f>
        <v>0</v>
      </c>
      <c r="AO204" s="241">
        <f>'FY29'!BD204</f>
        <v>0</v>
      </c>
      <c r="AP204" s="241">
        <f>'FY30'!BD204</f>
        <v>0</v>
      </c>
      <c r="AR204" s="241">
        <f>'FY26'!BL204</f>
        <v>0</v>
      </c>
      <c r="AS204" s="241">
        <f>'FY27'!BL204</f>
        <v>0</v>
      </c>
      <c r="AT204" s="241">
        <f>'FY28'!BL204</f>
        <v>0</v>
      </c>
      <c r="AU204" s="241">
        <f>'FY29'!BL204</f>
        <v>0</v>
      </c>
      <c r="AV204" s="241">
        <f>'FY30'!BL204</f>
        <v>0</v>
      </c>
      <c r="AX204" s="241">
        <f>'FY26'!BT204</f>
        <v>0</v>
      </c>
      <c r="AY204" s="241">
        <f>'FY27'!BT204</f>
        <v>0</v>
      </c>
      <c r="AZ204" s="241">
        <f>'FY28'!BT204</f>
        <v>0</v>
      </c>
      <c r="BA204" s="241">
        <f>'FY29'!BT204</f>
        <v>0</v>
      </c>
      <c r="BB204" s="241">
        <f>'FY30'!BT204</f>
        <v>0</v>
      </c>
    </row>
    <row r="205" spans="1:54" x14ac:dyDescent="0.25">
      <c r="A205" s="211" t="s">
        <v>302</v>
      </c>
      <c r="B205" s="241">
        <f>'FY26'!H205</f>
        <v>26236</v>
      </c>
      <c r="C205" s="241">
        <f>'FY27'!H205</f>
        <v>27023.08</v>
      </c>
      <c r="D205" s="241">
        <f>'FY28'!H205</f>
        <v>27833.772400000002</v>
      </c>
      <c r="E205" s="241">
        <f>'FY29'!H205</f>
        <v>28668.785572000001</v>
      </c>
      <c r="F205" s="241">
        <f>'FY30'!H205</f>
        <v>29528.84913916</v>
      </c>
      <c r="H205" s="241">
        <f>'FY26'!P205</f>
        <v>34976</v>
      </c>
      <c r="I205" s="241">
        <f>'FY27'!P205</f>
        <v>35675.520000000004</v>
      </c>
      <c r="J205" s="241">
        <f>'FY28'!P205</f>
        <v>36745.785600000003</v>
      </c>
      <c r="K205" s="241">
        <f>'FY29'!P205</f>
        <v>37848.159168000006</v>
      </c>
      <c r="L205" s="241">
        <f>'FY30'!P205</f>
        <v>38983.603943040005</v>
      </c>
      <c r="N205" s="241">
        <f>'FY26'!X205</f>
        <v>18498.400000000001</v>
      </c>
      <c r="O205" s="241">
        <f>'FY27'!X205</f>
        <v>19053.352000000003</v>
      </c>
      <c r="P205" s="241">
        <f>'FY28'!X205</f>
        <v>19624.952560000002</v>
      </c>
      <c r="Q205" s="241">
        <f>'FY29'!X205</f>
        <v>20213.701136800002</v>
      </c>
      <c r="R205" s="241">
        <f>'FY30'!X205</f>
        <v>20820.112170904002</v>
      </c>
      <c r="T205" s="241">
        <f>'FY26'!AF205</f>
        <v>22800</v>
      </c>
      <c r="U205" s="241">
        <f>'FY27'!AF205</f>
        <v>23256</v>
      </c>
      <c r="V205" s="241">
        <f>'FY28'!AF205</f>
        <v>23721.119999999999</v>
      </c>
      <c r="W205" s="241">
        <f>'FY29'!AF205</f>
        <v>24432.7536</v>
      </c>
      <c r="X205" s="241">
        <f>'FY30'!AF205</f>
        <v>25165.736208000002</v>
      </c>
      <c r="Z205" s="241">
        <f>'FY26'!AN205</f>
        <v>36598.400000000001</v>
      </c>
      <c r="AA205" s="241">
        <f>'FY27'!AN205</f>
        <v>37330.368000000002</v>
      </c>
      <c r="AB205" s="241">
        <f>'FY28'!AN205</f>
        <v>38450.279040000001</v>
      </c>
      <c r="AC205" s="241">
        <f>'FY29'!AN205</f>
        <v>39603.787411199999</v>
      </c>
      <c r="AD205" s="241">
        <f>'FY30'!AN205</f>
        <v>39604.817411199998</v>
      </c>
      <c r="AF205" s="241">
        <f>'FY26'!AV205</f>
        <v>0</v>
      </c>
      <c r="AG205" s="241">
        <f>'FY27'!AV205</f>
        <v>25000</v>
      </c>
      <c r="AH205" s="241">
        <f>'FY28'!AV205</f>
        <v>25750</v>
      </c>
      <c r="AI205" s="241">
        <f>'FY29'!AV205</f>
        <v>26522.5</v>
      </c>
      <c r="AJ205" s="241">
        <f>'FY30'!AV205</f>
        <v>27318.174999999999</v>
      </c>
      <c r="AL205" s="241">
        <f>'FY26'!BD205</f>
        <v>0</v>
      </c>
      <c r="AM205" s="241">
        <f>'FY27'!BD205</f>
        <v>0</v>
      </c>
      <c r="AN205" s="241">
        <f>'FY28'!BD205</f>
        <v>0</v>
      </c>
      <c r="AO205" s="241">
        <f>'FY29'!BD205</f>
        <v>0</v>
      </c>
      <c r="AP205" s="241">
        <f>'FY30'!BD205</f>
        <v>0</v>
      </c>
      <c r="AR205" s="241">
        <f>'FY26'!BL205</f>
        <v>0</v>
      </c>
      <c r="AS205" s="241">
        <f>'FY27'!BL205</f>
        <v>0</v>
      </c>
      <c r="AT205" s="241">
        <f>'FY28'!BL205</f>
        <v>0</v>
      </c>
      <c r="AU205" s="241">
        <f>'FY29'!BL205</f>
        <v>0</v>
      </c>
      <c r="AV205" s="241">
        <f>'FY30'!BL205</f>
        <v>0</v>
      </c>
      <c r="AX205" s="241">
        <f>'FY26'!BT205</f>
        <v>139108.79999999999</v>
      </c>
      <c r="AY205" s="241">
        <f>'FY27'!BT205</f>
        <v>167338.32</v>
      </c>
      <c r="AZ205" s="241">
        <f>'FY28'!BT205</f>
        <v>172125.90960000001</v>
      </c>
      <c r="BA205" s="241">
        <f>'FY29'!BT205</f>
        <v>177289.686888</v>
      </c>
      <c r="BB205" s="241">
        <f>'FY30'!BT205</f>
        <v>181421.293872304</v>
      </c>
    </row>
    <row r="206" spans="1:54" x14ac:dyDescent="0.25">
      <c r="A206" s="212" t="s">
        <v>303</v>
      </c>
      <c r="B206" s="241">
        <f>'FY26'!H206</f>
        <v>31825</v>
      </c>
      <c r="C206" s="241">
        <f>'FY27'!H206</f>
        <v>32779.75</v>
      </c>
      <c r="D206" s="241">
        <f>'FY28'!H206</f>
        <v>33763.142500000002</v>
      </c>
      <c r="E206" s="241">
        <f>'FY29'!H206</f>
        <v>34776.036775</v>
      </c>
      <c r="F206" s="241">
        <f>'FY30'!H206</f>
        <v>35819.317878250004</v>
      </c>
      <c r="H206" s="241">
        <f>'FY26'!P206</f>
        <v>56028.4</v>
      </c>
      <c r="I206" s="241">
        <f>'FY27'!P206</f>
        <v>57148.968000000001</v>
      </c>
      <c r="J206" s="241">
        <f>'FY28'!P206</f>
        <v>58863.437040000004</v>
      </c>
      <c r="K206" s="241">
        <f>'FY29'!P206</f>
        <v>60629.340151200005</v>
      </c>
      <c r="L206" s="241">
        <f>'FY30'!P206</f>
        <v>62448.220355736004</v>
      </c>
      <c r="N206" s="241">
        <f>'FY26'!X206</f>
        <v>25068</v>
      </c>
      <c r="O206" s="241">
        <f>'FY27'!X206</f>
        <v>25820.04</v>
      </c>
      <c r="P206" s="241">
        <f>'FY28'!X206</f>
        <v>26594.641200000002</v>
      </c>
      <c r="Q206" s="241">
        <f>'FY29'!X206</f>
        <v>27392.480436000002</v>
      </c>
      <c r="R206" s="241">
        <f>'FY30'!X206</f>
        <v>28214.254849080004</v>
      </c>
      <c r="T206" s="241">
        <f>'FY26'!AF206</f>
        <v>28182</v>
      </c>
      <c r="U206" s="241">
        <f>'FY27'!AF206</f>
        <v>28745.64</v>
      </c>
      <c r="V206" s="241">
        <f>'FY28'!AF206</f>
        <v>29320.552800000001</v>
      </c>
      <c r="W206" s="241">
        <f>'FY29'!AF206</f>
        <v>30200.169384000001</v>
      </c>
      <c r="X206" s="241">
        <f>'FY30'!AF206</f>
        <v>31106.174465520002</v>
      </c>
      <c r="Z206" s="241">
        <f>'FY26'!AN206</f>
        <v>52216.800000000003</v>
      </c>
      <c r="AA206" s="241">
        <f>'FY27'!AN206</f>
        <v>53261.136000000006</v>
      </c>
      <c r="AB206" s="241">
        <f>'FY28'!AN206</f>
        <v>54858.970080000006</v>
      </c>
      <c r="AC206" s="241">
        <f>'FY29'!AN206</f>
        <v>56504.739182400008</v>
      </c>
      <c r="AD206" s="241">
        <f>'FY30'!AN206</f>
        <v>58199.881357872007</v>
      </c>
      <c r="AF206" s="241">
        <f>'FY26'!AV206</f>
        <v>18368</v>
      </c>
      <c r="AG206" s="241">
        <f>'FY27'!AV206</f>
        <v>25000</v>
      </c>
      <c r="AH206" s="241">
        <f>'FY28'!AV206</f>
        <v>25750</v>
      </c>
      <c r="AI206" s="241">
        <f>'FY29'!AV206</f>
        <v>26522.5</v>
      </c>
      <c r="AJ206" s="241">
        <f>'FY30'!AV206</f>
        <v>27318.174999999999</v>
      </c>
      <c r="AL206" s="241">
        <f>'FY26'!BD206</f>
        <v>0</v>
      </c>
      <c r="AM206" s="241">
        <f>'FY27'!BD206</f>
        <v>0</v>
      </c>
      <c r="AN206" s="241">
        <f>'FY28'!BD206</f>
        <v>0</v>
      </c>
      <c r="AO206" s="241">
        <f>'FY29'!BD206</f>
        <v>0</v>
      </c>
      <c r="AP206" s="241">
        <f>'FY30'!BD206</f>
        <v>0</v>
      </c>
      <c r="AR206" s="241">
        <f>'FY26'!BL206</f>
        <v>0</v>
      </c>
      <c r="AS206" s="241">
        <f>'FY27'!BL206</f>
        <v>0</v>
      </c>
      <c r="AT206" s="241">
        <f>'FY28'!BL206</f>
        <v>0</v>
      </c>
      <c r="AU206" s="241">
        <f>'FY29'!BL206</f>
        <v>0</v>
      </c>
      <c r="AV206" s="241">
        <f>'FY30'!BL206</f>
        <v>0</v>
      </c>
      <c r="AX206" s="241">
        <f>'FY26'!BT206</f>
        <v>211688.2</v>
      </c>
      <c r="AY206" s="241">
        <f>'FY27'!BT206</f>
        <v>222755.53399999999</v>
      </c>
      <c r="AZ206" s="241">
        <f>'FY28'!BT206</f>
        <v>229150.74361999999</v>
      </c>
      <c r="BA206" s="241">
        <f>'FY29'!BT206</f>
        <v>236025.26592859998</v>
      </c>
      <c r="BB206" s="241">
        <f>'FY30'!BT206</f>
        <v>243106.02390645802</v>
      </c>
    </row>
    <row r="207" spans="1:54" x14ac:dyDescent="0.25">
      <c r="A207" s="213"/>
      <c r="B207" s="258">
        <f>'FY26'!H207</f>
        <v>470116</v>
      </c>
      <c r="C207" s="258">
        <f>'FY27'!H207</f>
        <v>486700.58</v>
      </c>
      <c r="D207" s="258">
        <f>'FY28'!H207</f>
        <v>501193.19740000006</v>
      </c>
      <c r="E207" s="258">
        <f>'FY29'!H207</f>
        <v>515931.42532200005</v>
      </c>
      <c r="F207" s="258">
        <f>'FY30'!H207</f>
        <v>530921.84872165998</v>
      </c>
      <c r="H207" s="258">
        <f>'FY26'!P207</f>
        <v>1024729.4</v>
      </c>
      <c r="I207" s="258">
        <f>'FY27'!P207</f>
        <v>1059295.7380000001</v>
      </c>
      <c r="J207" s="258">
        <f>'FY28'!P207</f>
        <v>1088863.4101400001</v>
      </c>
      <c r="K207" s="258">
        <f>'FY29'!P207</f>
        <v>1122449.4693192001</v>
      </c>
      <c r="L207" s="258">
        <f>'FY30'!P207</f>
        <v>1144996.9542087761</v>
      </c>
      <c r="N207" s="258">
        <f>'FY26'!X207</f>
        <v>417676.4</v>
      </c>
      <c r="O207" s="258">
        <f>'FY27'!X207</f>
        <v>432395.89199999999</v>
      </c>
      <c r="P207" s="258">
        <f>'FY28'!X207</f>
        <v>445353.14876000001</v>
      </c>
      <c r="Q207" s="258">
        <f>'FY29'!X207</f>
        <v>458514.8308228</v>
      </c>
      <c r="R207" s="258">
        <f>'FY30'!X207</f>
        <v>471886.385099484</v>
      </c>
      <c r="T207" s="258">
        <f>'FY26'!AF207</f>
        <v>505332</v>
      </c>
      <c r="U207" s="258">
        <f>'FY27'!AF207</f>
        <v>520929.14</v>
      </c>
      <c r="V207" s="258">
        <f>'FY28'!AF207</f>
        <v>533928.79779999994</v>
      </c>
      <c r="W207" s="258">
        <f>'FY29'!AF207</f>
        <v>548825.27835899999</v>
      </c>
      <c r="X207" s="258">
        <f>'FY30'!AF207</f>
        <v>565850.47978976998</v>
      </c>
      <c r="Z207" s="258">
        <f>'FY26'!AN207</f>
        <v>2140815.1999999997</v>
      </c>
      <c r="AA207" s="258">
        <f>'FY27'!AN207</f>
        <v>1155961.504</v>
      </c>
      <c r="AB207" s="258">
        <f>'FY28'!AN207</f>
        <v>1186526.64912</v>
      </c>
      <c r="AC207" s="258">
        <f>'FY29'!AN207</f>
        <v>1217778.4745936003</v>
      </c>
      <c r="AD207" s="258">
        <f>'FY30'!AN207</f>
        <v>1253548.891729072</v>
      </c>
      <c r="AF207" s="258">
        <f>'FY26'!AV207</f>
        <v>166168</v>
      </c>
      <c r="AG207" s="258">
        <f>'FY27'!AV207</f>
        <v>345500</v>
      </c>
      <c r="AH207" s="258">
        <f>'FY28'!AV207</f>
        <v>364995</v>
      </c>
      <c r="AI207" s="258">
        <f>'FY29'!AV207</f>
        <v>377445.9</v>
      </c>
      <c r="AJ207" s="258">
        <f>'FY30'!AV207</f>
        <v>390089.348</v>
      </c>
      <c r="AL207" s="258">
        <f>'FY26'!BD207</f>
        <v>0</v>
      </c>
      <c r="AM207" s="258">
        <f>'FY27'!BD207</f>
        <v>0</v>
      </c>
      <c r="AN207" s="258">
        <f>'FY28'!BD207</f>
        <v>0</v>
      </c>
      <c r="AO207" s="258">
        <f>'FY29'!BD207</f>
        <v>0</v>
      </c>
      <c r="AP207" s="258">
        <f>'FY30'!BD207</f>
        <v>0</v>
      </c>
      <c r="AR207" s="258">
        <f>'FY26'!BL207</f>
        <v>0</v>
      </c>
      <c r="AS207" s="258">
        <f>'FY27'!BL207</f>
        <v>0</v>
      </c>
      <c r="AT207" s="258">
        <f>'FY28'!BL207</f>
        <v>0</v>
      </c>
      <c r="AU207" s="258">
        <f>'FY29'!BL207</f>
        <v>0</v>
      </c>
      <c r="AV207" s="258">
        <f>'FY30'!BL207</f>
        <v>0</v>
      </c>
      <c r="AX207" s="258">
        <f>'FY26'!BT207</f>
        <v>4724837</v>
      </c>
      <c r="AY207" s="258">
        <f>'FY27'!BT207</f>
        <v>4000782.8539999998</v>
      </c>
      <c r="AZ207" s="258">
        <f>'FY28'!BT207</f>
        <v>4120860.2032199996</v>
      </c>
      <c r="BA207" s="258">
        <f>'FY29'!BT207</f>
        <v>4240945.3784165997</v>
      </c>
      <c r="BB207" s="258">
        <f>'FY30'!BT207</f>
        <v>4357293.9075487619</v>
      </c>
    </row>
    <row r="208" spans="1:54" ht="16.5" thickBot="1" x14ac:dyDescent="0.3">
      <c r="B208" s="259">
        <f>'FY26'!H208</f>
        <v>0</v>
      </c>
      <c r="C208" s="259">
        <f>'FY27'!H208</f>
        <v>0</v>
      </c>
      <c r="D208" s="259">
        <f>'FY28'!H208</f>
        <v>0</v>
      </c>
      <c r="E208" s="259">
        <f>'FY29'!H208</f>
        <v>0</v>
      </c>
      <c r="F208" s="259">
        <f>'FY30'!H208</f>
        <v>0</v>
      </c>
      <c r="H208" s="259">
        <f>'FY26'!P208</f>
        <v>0</v>
      </c>
      <c r="I208" s="259">
        <f>'FY27'!P208</f>
        <v>0</v>
      </c>
      <c r="J208" s="259">
        <f>'FY28'!P208</f>
        <v>0</v>
      </c>
      <c r="K208" s="259">
        <f>'FY29'!P208</f>
        <v>0</v>
      </c>
      <c r="L208" s="259">
        <f>'FY30'!P208</f>
        <v>0</v>
      </c>
      <c r="N208" s="259">
        <f>'FY26'!X208</f>
        <v>0</v>
      </c>
      <c r="O208" s="259">
        <f>'FY27'!X208</f>
        <v>0</v>
      </c>
      <c r="P208" s="259">
        <f>'FY28'!X208</f>
        <v>0</v>
      </c>
      <c r="Q208" s="259">
        <f>'FY29'!X208</f>
        <v>0</v>
      </c>
      <c r="R208" s="259">
        <f>'FY30'!X208</f>
        <v>0</v>
      </c>
      <c r="T208" s="259">
        <f>'FY26'!AF208</f>
        <v>0</v>
      </c>
      <c r="U208" s="259">
        <f>'FY27'!AF208</f>
        <v>0</v>
      </c>
      <c r="V208" s="259">
        <f>'FY28'!AF208</f>
        <v>0</v>
      </c>
      <c r="W208" s="259">
        <f>'FY29'!AF208</f>
        <v>0</v>
      </c>
      <c r="X208" s="259">
        <f>'FY30'!AF208</f>
        <v>0</v>
      </c>
      <c r="Z208" s="259">
        <f>'FY26'!AN208</f>
        <v>0</v>
      </c>
      <c r="AA208" s="259">
        <f>'FY27'!AN208</f>
        <v>0</v>
      </c>
      <c r="AB208" s="259">
        <f>'FY28'!AN208</f>
        <v>0</v>
      </c>
      <c r="AC208" s="259">
        <f>'FY29'!AN208</f>
        <v>0</v>
      </c>
      <c r="AD208" s="259">
        <f>'FY30'!AN208</f>
        <v>0</v>
      </c>
      <c r="AF208" s="259">
        <f>'FY26'!AV208</f>
        <v>0</v>
      </c>
      <c r="AG208" s="259">
        <f>'FY27'!AV208</f>
        <v>0</v>
      </c>
      <c r="AH208" s="259">
        <f>'FY28'!AV208</f>
        <v>0</v>
      </c>
      <c r="AI208" s="259">
        <f>'FY29'!AV208</f>
        <v>0</v>
      </c>
      <c r="AJ208" s="259">
        <f>'FY30'!AV208</f>
        <v>0</v>
      </c>
      <c r="AL208" s="259">
        <f>'FY26'!BD208</f>
        <v>0</v>
      </c>
      <c r="AM208" s="259">
        <f>'FY27'!BD208</f>
        <v>0</v>
      </c>
      <c r="AN208" s="259">
        <f>'FY28'!BD208</f>
        <v>0</v>
      </c>
      <c r="AO208" s="259">
        <f>'FY29'!BD208</f>
        <v>0</v>
      </c>
      <c r="AP208" s="259">
        <f>'FY30'!BD208</f>
        <v>0</v>
      </c>
      <c r="AR208" s="259">
        <f>'FY26'!BL208</f>
        <v>0</v>
      </c>
      <c r="AS208" s="259">
        <f>'FY27'!BL208</f>
        <v>0</v>
      </c>
      <c r="AT208" s="259">
        <f>'FY28'!BL208</f>
        <v>0</v>
      </c>
      <c r="AU208" s="259">
        <f>'FY29'!BL208</f>
        <v>0</v>
      </c>
      <c r="AV208" s="259">
        <f>'FY30'!BL208</f>
        <v>0</v>
      </c>
      <c r="AX208" s="259">
        <f>'FY26'!BT208</f>
        <v>0</v>
      </c>
      <c r="AY208" s="259">
        <f>'FY27'!BT208</f>
        <v>0</v>
      </c>
      <c r="AZ208" s="259">
        <f>'FY28'!BT208</f>
        <v>0</v>
      </c>
      <c r="BA208" s="259">
        <f>'FY29'!BT208</f>
        <v>0</v>
      </c>
      <c r="BB208" s="259">
        <f>'FY30'!BT208</f>
        <v>0</v>
      </c>
    </row>
    <row r="209" spans="1:54" ht="16.5" thickBot="1" x14ac:dyDescent="0.3">
      <c r="A209" s="284" t="s">
        <v>338</v>
      </c>
      <c r="B209" s="264">
        <f>'FY26'!H209</f>
        <v>9468670.0865000002</v>
      </c>
      <c r="C209" s="264">
        <f>'FY27'!H209</f>
        <v>9796724.9810390007</v>
      </c>
      <c r="D209" s="264">
        <f>'FY28'!H209</f>
        <v>9944723.287956208</v>
      </c>
      <c r="E209" s="264">
        <f>'FY29'!H209</f>
        <v>10095286.066897081</v>
      </c>
      <c r="F209" s="264">
        <f>'FY30'!H209</f>
        <v>10261581.302912448</v>
      </c>
      <c r="H209" s="264">
        <f>'FY26'!P209</f>
        <v>25951036.957265623</v>
      </c>
      <c r="I209" s="264">
        <f>'FY27'!P209</f>
        <v>26488769.342739999</v>
      </c>
      <c r="J209" s="264">
        <f>'FY28'!P209</f>
        <v>27031731.803743854</v>
      </c>
      <c r="K209" s="264">
        <f>'FY29'!P209</f>
        <v>27511033.544575289</v>
      </c>
      <c r="L209" s="264">
        <f>'FY30'!P209</f>
        <v>27931782.693423174</v>
      </c>
      <c r="N209" s="264">
        <f>'FY26'!X209</f>
        <v>10882919.805749999</v>
      </c>
      <c r="O209" s="264">
        <f>'FY27'!X209</f>
        <v>10724818.9634245</v>
      </c>
      <c r="P209" s="264">
        <f>'FY28'!X209</f>
        <v>10888175.938882928</v>
      </c>
      <c r="Q209" s="264">
        <f>'FY29'!X209</f>
        <v>11052998.110143544</v>
      </c>
      <c r="R209" s="264">
        <f>'FY30'!X209</f>
        <v>11228981.26877431</v>
      </c>
      <c r="T209" s="264">
        <f>'FY26'!AF209</f>
        <v>12557770.765574999</v>
      </c>
      <c r="U209" s="264">
        <f>'FY27'!AF209</f>
        <v>12382194.428111499</v>
      </c>
      <c r="V209" s="264">
        <f>'FY28'!AF209</f>
        <v>12630992.097312482</v>
      </c>
      <c r="W209" s="264">
        <f>'FY29'!AF209</f>
        <v>12821737.974987589</v>
      </c>
      <c r="X209" s="264">
        <f>'FY30'!AF209</f>
        <v>13126625.856221128</v>
      </c>
      <c r="Z209" s="264">
        <f>'FY26'!AN209</f>
        <v>25963416.800500002</v>
      </c>
      <c r="AA209" s="264">
        <f>'FY27'!AN209</f>
        <v>25568853.19545</v>
      </c>
      <c r="AB209" s="264">
        <f>'FY28'!AN209</f>
        <v>26298030.832833</v>
      </c>
      <c r="AC209" s="264">
        <f>'FY29'!AN209</f>
        <v>26428002.902349342</v>
      </c>
      <c r="AD209" s="264">
        <f>'FY30'!AN209</f>
        <v>26847755.579784695</v>
      </c>
      <c r="AF209" s="264">
        <f>'FY26'!AV209</f>
        <v>4233289.1124999998</v>
      </c>
      <c r="AG209" s="264">
        <f>'FY27'!AV209</f>
        <v>6779404.6396400006</v>
      </c>
      <c r="AH209" s="264">
        <f>'FY28'!AV209</f>
        <v>8125775.7508749999</v>
      </c>
      <c r="AI209" s="264">
        <f>'FY29'!AV209</f>
        <v>9103119.7730734516</v>
      </c>
      <c r="AJ209" s="264">
        <f>'FY30'!AV209</f>
        <v>9328155.7768185083</v>
      </c>
      <c r="AL209" s="264">
        <f>'FY26'!BD209</f>
        <v>1483257.9375</v>
      </c>
      <c r="AM209" s="264">
        <f>'FY27'!BD209</f>
        <v>1789967.5233749999</v>
      </c>
      <c r="AN209" s="264">
        <f>'FY28'!BD209</f>
        <v>1840845.1784312497</v>
      </c>
      <c r="AO209" s="264">
        <f>'FY29'!BD209</f>
        <v>1892893.7836299874</v>
      </c>
      <c r="AP209" s="264">
        <f>'FY30'!BD209</f>
        <v>1942975.7281955595</v>
      </c>
      <c r="AR209" s="264">
        <f>'FY26'!BL209</f>
        <v>1358558.75</v>
      </c>
      <c r="AS209" s="264">
        <f>'FY27'!BL209</f>
        <v>1369988.0062500001</v>
      </c>
      <c r="AT209" s="264">
        <f>'FY28'!BL209</f>
        <v>1381532.3487125002</v>
      </c>
      <c r="AU209" s="264">
        <f>'FY29'!BL209</f>
        <v>1396261.6188913749</v>
      </c>
      <c r="AV209" s="264">
        <f>'FY30'!BL209</f>
        <v>1414373.7491265812</v>
      </c>
      <c r="AX209" s="264">
        <f>'FY26'!BT209</f>
        <v>91898920.215590641</v>
      </c>
      <c r="AY209" s="264">
        <f>'FY27'!BT209</f>
        <v>94900721.080030009</v>
      </c>
      <c r="AZ209" s="264">
        <f>'FY28'!BT209</f>
        <v>98141807.238747209</v>
      </c>
      <c r="BA209" s="264">
        <f>'FY29'!BT209</f>
        <v>100301333.77454767</v>
      </c>
      <c r="BB209" s="264">
        <f>'FY30'!BT209</f>
        <v>102082231.95525642</v>
      </c>
    </row>
    <row r="210" spans="1:54" ht="16.5" thickBot="1" x14ac:dyDescent="0.3">
      <c r="B210" s="259">
        <f>'FY26'!H210</f>
        <v>0</v>
      </c>
      <c r="C210" s="259">
        <f>'FY27'!H210</f>
        <v>0</v>
      </c>
      <c r="D210" s="259">
        <f>'FY28'!H210</f>
        <v>0</v>
      </c>
      <c r="E210" s="259">
        <f>'FY29'!H210</f>
        <v>0</v>
      </c>
      <c r="F210" s="259">
        <f>'FY30'!H210</f>
        <v>0</v>
      </c>
      <c r="H210" s="259">
        <f>'FY26'!P210</f>
        <v>0</v>
      </c>
      <c r="I210" s="259">
        <f>'FY27'!P210</f>
        <v>0</v>
      </c>
      <c r="J210" s="259">
        <f>'FY28'!P210</f>
        <v>0</v>
      </c>
      <c r="K210" s="259">
        <f>'FY29'!P210</f>
        <v>0</v>
      </c>
      <c r="L210" s="259">
        <f>'FY30'!P210</f>
        <v>0</v>
      </c>
      <c r="N210" s="259">
        <f>'FY26'!X210</f>
        <v>0</v>
      </c>
      <c r="O210" s="259">
        <f>'FY27'!X210</f>
        <v>0</v>
      </c>
      <c r="P210" s="259">
        <f>'FY28'!X210</f>
        <v>0</v>
      </c>
      <c r="Q210" s="259">
        <f>'FY29'!X210</f>
        <v>0</v>
      </c>
      <c r="R210" s="259">
        <f>'FY30'!X210</f>
        <v>0</v>
      </c>
      <c r="T210" s="259">
        <f>'FY26'!AF210</f>
        <v>0</v>
      </c>
      <c r="U210" s="259">
        <f>'FY27'!AF210</f>
        <v>0</v>
      </c>
      <c r="V210" s="259">
        <f>'FY28'!AF210</f>
        <v>0</v>
      </c>
      <c r="W210" s="259">
        <f>'FY29'!AF210</f>
        <v>0</v>
      </c>
      <c r="X210" s="259">
        <f>'FY30'!AF210</f>
        <v>0</v>
      </c>
      <c r="Z210" s="259">
        <f>'FY26'!AN210</f>
        <v>0</v>
      </c>
      <c r="AA210" s="259">
        <f>'FY27'!AN210</f>
        <v>0</v>
      </c>
      <c r="AB210" s="259">
        <f>'FY28'!AN210</f>
        <v>0</v>
      </c>
      <c r="AC210" s="259">
        <f>'FY29'!AN210</f>
        <v>0</v>
      </c>
      <c r="AD210" s="259">
        <f>'FY30'!AN210</f>
        <v>0</v>
      </c>
      <c r="AF210" s="259">
        <f>'FY26'!AV210</f>
        <v>0</v>
      </c>
      <c r="AG210" s="259">
        <f>'FY27'!AV210</f>
        <v>0</v>
      </c>
      <c r="AH210" s="259">
        <f>'FY28'!AV210</f>
        <v>0</v>
      </c>
      <c r="AI210" s="259">
        <f>'FY29'!AV210</f>
        <v>0</v>
      </c>
      <c r="AJ210" s="259">
        <f>'FY30'!AV210</f>
        <v>0</v>
      </c>
      <c r="AL210" s="259">
        <f>'FY26'!BD210</f>
        <v>0</v>
      </c>
      <c r="AM210" s="259">
        <f>'FY27'!BD210</f>
        <v>0</v>
      </c>
      <c r="AN210" s="259">
        <f>'FY28'!BD210</f>
        <v>0</v>
      </c>
      <c r="AO210" s="259">
        <f>'FY29'!BD210</f>
        <v>0</v>
      </c>
      <c r="AP210" s="259">
        <f>'FY30'!BD210</f>
        <v>0</v>
      </c>
      <c r="AR210" s="259">
        <f>'FY26'!BL210</f>
        <v>0</v>
      </c>
      <c r="AS210" s="259">
        <f>'FY27'!BL210</f>
        <v>0</v>
      </c>
      <c r="AT210" s="259">
        <f>'FY28'!BL210</f>
        <v>0</v>
      </c>
      <c r="AU210" s="259">
        <f>'FY29'!BL210</f>
        <v>0</v>
      </c>
      <c r="AV210" s="259">
        <f>'FY30'!BL210</f>
        <v>0</v>
      </c>
      <c r="AX210" s="259">
        <f>'FY26'!BT210</f>
        <v>0</v>
      </c>
      <c r="AY210" s="259">
        <f>'FY27'!BT210</f>
        <v>0</v>
      </c>
      <c r="AZ210" s="259">
        <f>'FY28'!BT210</f>
        <v>0</v>
      </c>
      <c r="BA210" s="259">
        <f>'FY29'!BT210</f>
        <v>0</v>
      </c>
      <c r="BB210" s="259">
        <f>'FY30'!BT210</f>
        <v>0</v>
      </c>
    </row>
    <row r="211" spans="1:54" ht="16.5" thickBot="1" x14ac:dyDescent="0.3">
      <c r="A211" s="284" t="s">
        <v>339</v>
      </c>
      <c r="B211" s="265">
        <f>'FY26'!H211</f>
        <v>0</v>
      </c>
      <c r="C211" s="265">
        <f>'FY27'!H211</f>
        <v>0</v>
      </c>
      <c r="D211" s="265">
        <f>'FY28'!H211</f>
        <v>0</v>
      </c>
      <c r="E211" s="265">
        <f>'FY29'!H211</f>
        <v>0</v>
      </c>
      <c r="F211" s="265">
        <f>'FY30'!H211</f>
        <v>0</v>
      </c>
      <c r="H211" s="265">
        <f>'FY26'!P211</f>
        <v>0</v>
      </c>
      <c r="I211" s="265">
        <f>'FY27'!P211</f>
        <v>0</v>
      </c>
      <c r="J211" s="265">
        <f>'FY28'!P211</f>
        <v>0</v>
      </c>
      <c r="K211" s="265">
        <f>'FY29'!P211</f>
        <v>0</v>
      </c>
      <c r="L211" s="265">
        <f>'FY30'!P211</f>
        <v>0</v>
      </c>
      <c r="N211" s="265">
        <f>'FY26'!X211</f>
        <v>0</v>
      </c>
      <c r="O211" s="265">
        <f>'FY27'!X211</f>
        <v>0</v>
      </c>
      <c r="P211" s="265">
        <f>'FY28'!X211</f>
        <v>0</v>
      </c>
      <c r="Q211" s="265">
        <f>'FY29'!X211</f>
        <v>0</v>
      </c>
      <c r="R211" s="265">
        <f>'FY30'!X211</f>
        <v>0</v>
      </c>
      <c r="T211" s="265">
        <f>'FY26'!AF211</f>
        <v>0</v>
      </c>
      <c r="U211" s="265">
        <f>'FY27'!AF211</f>
        <v>0</v>
      </c>
      <c r="V211" s="265">
        <f>'FY28'!AF211</f>
        <v>0</v>
      </c>
      <c r="W211" s="265">
        <f>'FY29'!AF211</f>
        <v>0</v>
      </c>
      <c r="X211" s="265">
        <f>'FY30'!AF211</f>
        <v>0</v>
      </c>
      <c r="Z211" s="265">
        <f>'FY26'!AN211</f>
        <v>0</v>
      </c>
      <c r="AA211" s="265">
        <f>'FY27'!AN211</f>
        <v>0</v>
      </c>
      <c r="AB211" s="265">
        <f>'FY28'!AN211</f>
        <v>0</v>
      </c>
      <c r="AC211" s="265">
        <f>'FY29'!AN211</f>
        <v>0</v>
      </c>
      <c r="AD211" s="265">
        <f>'FY30'!AN211</f>
        <v>0</v>
      </c>
      <c r="AF211" s="265">
        <f>'FY26'!AV211</f>
        <v>0</v>
      </c>
      <c r="AG211" s="265">
        <f>'FY27'!AV211</f>
        <v>0</v>
      </c>
      <c r="AH211" s="265">
        <f>'FY28'!AV211</f>
        <v>0</v>
      </c>
      <c r="AI211" s="265">
        <f>'FY29'!AV211</f>
        <v>0</v>
      </c>
      <c r="AJ211" s="265">
        <f>'FY30'!AV211</f>
        <v>0</v>
      </c>
      <c r="AL211" s="265">
        <f>'FY26'!BD211</f>
        <v>0</v>
      </c>
      <c r="AM211" s="265">
        <f>'FY27'!BD211</f>
        <v>0</v>
      </c>
      <c r="AN211" s="265">
        <f>'FY28'!BD211</f>
        <v>0</v>
      </c>
      <c r="AO211" s="265">
        <f>'FY29'!BD211</f>
        <v>0</v>
      </c>
      <c r="AP211" s="265">
        <f>'FY30'!BD211</f>
        <v>0</v>
      </c>
      <c r="AR211" s="265">
        <f>'FY26'!BL211</f>
        <v>0</v>
      </c>
      <c r="AS211" s="265">
        <f>'FY27'!BL211</f>
        <v>0</v>
      </c>
      <c r="AT211" s="265">
        <f>'FY28'!BL211</f>
        <v>0</v>
      </c>
      <c r="AU211" s="265">
        <f>'FY29'!BL211</f>
        <v>0</v>
      </c>
      <c r="AV211" s="265">
        <f>'FY30'!BL211</f>
        <v>0</v>
      </c>
      <c r="AX211" s="265">
        <f>'FY26'!BT211</f>
        <v>0</v>
      </c>
      <c r="AY211" s="265">
        <f>'FY27'!BT211</f>
        <v>0</v>
      </c>
      <c r="AZ211" s="265">
        <f>'FY28'!BT211</f>
        <v>0</v>
      </c>
      <c r="BA211" s="265">
        <f>'FY29'!BT211</f>
        <v>0</v>
      </c>
      <c r="BB211" s="265">
        <f>'FY30'!BT211</f>
        <v>0</v>
      </c>
    </row>
    <row r="212" spans="1:54" x14ac:dyDescent="0.25">
      <c r="A212" s="215" t="s">
        <v>304</v>
      </c>
      <c r="B212" s="241">
        <f>'FY26'!H212</f>
        <v>0</v>
      </c>
      <c r="C212" s="241">
        <f>'FY27'!H212</f>
        <v>0</v>
      </c>
      <c r="D212" s="241">
        <f>'FY28'!H212</f>
        <v>0</v>
      </c>
      <c r="E212" s="241">
        <f>'FY29'!H212</f>
        <v>0</v>
      </c>
      <c r="F212" s="241">
        <f>'FY30'!H212</f>
        <v>0</v>
      </c>
      <c r="H212" s="241">
        <f>'FY26'!P212</f>
        <v>2493885</v>
      </c>
      <c r="I212" s="241">
        <f>'FY27'!P212</f>
        <v>2496200</v>
      </c>
      <c r="J212" s="241">
        <f>'FY28'!P212</f>
        <v>2492750</v>
      </c>
      <c r="K212" s="241">
        <f>'FY29'!P212</f>
        <v>2496625</v>
      </c>
      <c r="L212" s="241">
        <f>'FY30'!P212</f>
        <v>2495000</v>
      </c>
      <c r="N212" s="241">
        <f>'FY26'!X212</f>
        <v>0</v>
      </c>
      <c r="O212" s="241">
        <f>'FY27'!X212</f>
        <v>0</v>
      </c>
      <c r="P212" s="241">
        <f>'FY28'!X212</f>
        <v>0</v>
      </c>
      <c r="Q212" s="241">
        <f>'FY29'!X212</f>
        <v>0</v>
      </c>
      <c r="R212" s="241">
        <f>'FY30'!X212</f>
        <v>0</v>
      </c>
      <c r="T212" s="241">
        <f>'FY26'!AF212</f>
        <v>0</v>
      </c>
      <c r="U212" s="241">
        <f>'FY27'!AF212</f>
        <v>0</v>
      </c>
      <c r="V212" s="241">
        <f>'FY28'!AF212</f>
        <v>0</v>
      </c>
      <c r="W212" s="241">
        <f>'FY29'!AF212</f>
        <v>0</v>
      </c>
      <c r="X212" s="241">
        <f>'FY30'!AF212</f>
        <v>0</v>
      </c>
      <c r="Z212" s="241">
        <f>'FY26'!AN212</f>
        <v>3052552</v>
      </c>
      <c r="AA212" s="241">
        <f>'FY27'!AN212</f>
        <v>3355590</v>
      </c>
      <c r="AB212" s="241">
        <f>'FY28'!AN212</f>
        <v>3565550</v>
      </c>
      <c r="AC212" s="241">
        <f>'FY29'!AN212</f>
        <v>3582925</v>
      </c>
      <c r="AD212" s="241">
        <f>'FY30'!AN212</f>
        <v>3574450</v>
      </c>
      <c r="AF212" s="241">
        <f>'FY26'!AV212</f>
        <v>277500</v>
      </c>
      <c r="AG212" s="241">
        <f>'FY27'!AV212</f>
        <v>0</v>
      </c>
      <c r="AH212" s="241">
        <f>'FY28'!AV212</f>
        <v>0</v>
      </c>
      <c r="AI212" s="241">
        <f>'FY29'!AV212</f>
        <v>0</v>
      </c>
      <c r="AJ212" s="241">
        <f>'FY30'!AV212</f>
        <v>0</v>
      </c>
      <c r="AL212" s="241">
        <f>'FY26'!BD212</f>
        <v>0</v>
      </c>
      <c r="AM212" s="241">
        <f>'FY27'!BD212</f>
        <v>0</v>
      </c>
      <c r="AN212" s="241">
        <f>'FY28'!BD212</f>
        <v>0</v>
      </c>
      <c r="AO212" s="241">
        <f>'FY29'!BD212</f>
        <v>0</v>
      </c>
      <c r="AP212" s="241">
        <f>'FY30'!BD212</f>
        <v>0</v>
      </c>
      <c r="AR212" s="241">
        <f>'FY26'!BL212</f>
        <v>0</v>
      </c>
      <c r="AS212" s="241">
        <f>'FY27'!BL212</f>
        <v>0</v>
      </c>
      <c r="AT212" s="241">
        <f>'FY28'!BL212</f>
        <v>0</v>
      </c>
      <c r="AU212" s="241">
        <f>'FY29'!BL212</f>
        <v>0</v>
      </c>
      <c r="AV212" s="241">
        <f>'FY30'!BL212</f>
        <v>0</v>
      </c>
      <c r="AX212" s="241">
        <f>'FY26'!BT212</f>
        <v>5823937</v>
      </c>
      <c r="AY212" s="241">
        <f>'FY27'!BT212</f>
        <v>5851790</v>
      </c>
      <c r="AZ212" s="241">
        <f>'FY28'!BT212</f>
        <v>6058300</v>
      </c>
      <c r="BA212" s="241">
        <f>'FY29'!BT212</f>
        <v>6079550</v>
      </c>
      <c r="BB212" s="241">
        <f>'FY30'!BT212</f>
        <v>6069450</v>
      </c>
    </row>
    <row r="213" spans="1:54" x14ac:dyDescent="0.25">
      <c r="A213" s="216" t="s">
        <v>305</v>
      </c>
      <c r="B213" s="241">
        <f>'FY26'!H213</f>
        <v>890595</v>
      </c>
      <c r="C213" s="241">
        <f>'FY27'!H213</f>
        <v>890043</v>
      </c>
      <c r="D213" s="241">
        <f>'FY28'!H213</f>
        <v>890115</v>
      </c>
      <c r="E213" s="241">
        <f>'FY29'!H213</f>
        <v>892331</v>
      </c>
      <c r="F213" s="241">
        <f>'FY30'!H213</f>
        <v>893352</v>
      </c>
      <c r="H213" s="241">
        <f>'FY26'!P213</f>
        <v>0</v>
      </c>
      <c r="I213" s="241">
        <f>'FY27'!P213</f>
        <v>0</v>
      </c>
      <c r="J213" s="241">
        <f>'FY28'!P213</f>
        <v>0</v>
      </c>
      <c r="K213" s="241">
        <f>'FY29'!P213</f>
        <v>0</v>
      </c>
      <c r="L213" s="241">
        <f>'FY30'!P213</f>
        <v>0</v>
      </c>
      <c r="N213" s="241">
        <f>'FY26'!X213</f>
        <v>1008035</v>
      </c>
      <c r="O213" s="241">
        <f>'FY27'!X213</f>
        <v>1007411</v>
      </c>
      <c r="P213" s="241">
        <f>'FY28'!X213</f>
        <v>1007493</v>
      </c>
      <c r="Q213" s="241">
        <f>'FY29'!X213</f>
        <v>1010001</v>
      </c>
      <c r="R213" s="241">
        <f>'FY30'!X213</f>
        <v>1011156</v>
      </c>
      <c r="T213" s="241">
        <f>'FY26'!AF213</f>
        <v>1158751</v>
      </c>
      <c r="U213" s="241">
        <f>'FY27'!AF213</f>
        <v>1158033</v>
      </c>
      <c r="V213" s="241">
        <f>'FY28'!AF213</f>
        <v>1158128</v>
      </c>
      <c r="W213" s="241">
        <f>'FY29'!AF213</f>
        <v>1161010</v>
      </c>
      <c r="X213" s="241">
        <f>'FY30'!AF213</f>
        <v>1162339</v>
      </c>
      <c r="Z213" s="241">
        <f>'FY26'!AN213</f>
        <v>0</v>
      </c>
      <c r="AA213" s="241">
        <f>'FY27'!AN213</f>
        <v>0</v>
      </c>
      <c r="AB213" s="241">
        <f>'FY28'!AN213</f>
        <v>0</v>
      </c>
      <c r="AC213" s="241">
        <f>'FY29'!AN213</f>
        <v>0</v>
      </c>
      <c r="AD213" s="241">
        <f>'FY30'!AN213</f>
        <v>0</v>
      </c>
      <c r="AF213" s="241">
        <f>'FY26'!AV213</f>
        <v>0</v>
      </c>
      <c r="AG213" s="241">
        <f>'FY27'!AV213</f>
        <v>0</v>
      </c>
      <c r="AH213" s="241">
        <f>'FY28'!AV213</f>
        <v>0</v>
      </c>
      <c r="AI213" s="241">
        <f>'FY29'!AV213</f>
        <v>0</v>
      </c>
      <c r="AJ213" s="241">
        <f>'FY30'!AV213</f>
        <v>0</v>
      </c>
      <c r="AL213" s="241">
        <f>'FY26'!BD213</f>
        <v>0</v>
      </c>
      <c r="AM213" s="241">
        <f>'FY27'!BD213</f>
        <v>0</v>
      </c>
      <c r="AN213" s="241">
        <f>'FY28'!BD213</f>
        <v>0</v>
      </c>
      <c r="AO213" s="241">
        <f>'FY29'!BD213</f>
        <v>0</v>
      </c>
      <c r="AP213" s="241">
        <f>'FY30'!BD213</f>
        <v>0</v>
      </c>
      <c r="AR213" s="241">
        <f>'FY26'!BL213</f>
        <v>0</v>
      </c>
      <c r="AS213" s="241">
        <f>'FY27'!BL213</f>
        <v>0</v>
      </c>
      <c r="AT213" s="241">
        <f>'FY28'!BL213</f>
        <v>0</v>
      </c>
      <c r="AU213" s="241">
        <f>'FY29'!BL213</f>
        <v>0</v>
      </c>
      <c r="AV213" s="241">
        <f>'FY30'!BL213</f>
        <v>0</v>
      </c>
      <c r="AX213" s="241">
        <f>'FY26'!BT213</f>
        <v>3057381</v>
      </c>
      <c r="AY213" s="241">
        <f>'FY27'!BT213</f>
        <v>3055487</v>
      </c>
      <c r="AZ213" s="241">
        <f>'FY28'!BT213</f>
        <v>3055736</v>
      </c>
      <c r="BA213" s="241">
        <f>'FY29'!BT213</f>
        <v>3063342</v>
      </c>
      <c r="BB213" s="241">
        <f>'FY30'!BT213</f>
        <v>3066847</v>
      </c>
    </row>
    <row r="214" spans="1:54" x14ac:dyDescent="0.25">
      <c r="A214" s="216" t="s">
        <v>306</v>
      </c>
      <c r="B214" s="241">
        <f>'FY26'!H214</f>
        <v>0</v>
      </c>
      <c r="C214" s="241">
        <f>'FY27'!H214</f>
        <v>0</v>
      </c>
      <c r="D214" s="241">
        <f>'FY28'!H214</f>
        <v>0</v>
      </c>
      <c r="E214" s="241">
        <f>'FY29'!H214</f>
        <v>0</v>
      </c>
      <c r="F214" s="241">
        <f>'FY30'!H214</f>
        <v>0</v>
      </c>
      <c r="H214" s="241">
        <f>'FY26'!P214</f>
        <v>0</v>
      </c>
      <c r="I214" s="241">
        <f>'FY27'!P214</f>
        <v>0</v>
      </c>
      <c r="J214" s="241">
        <f>'FY28'!P214</f>
        <v>0</v>
      </c>
      <c r="K214" s="241">
        <f>'FY29'!P214</f>
        <v>0</v>
      </c>
      <c r="L214" s="241">
        <f>'FY30'!P214</f>
        <v>0</v>
      </c>
      <c r="N214" s="241">
        <f>'FY26'!X214</f>
        <v>0</v>
      </c>
      <c r="O214" s="241">
        <f>'FY27'!X214</f>
        <v>0</v>
      </c>
      <c r="P214" s="241">
        <f>'FY28'!X214</f>
        <v>0</v>
      </c>
      <c r="Q214" s="241">
        <f>'FY29'!X214</f>
        <v>0</v>
      </c>
      <c r="R214" s="241">
        <f>'FY30'!X214</f>
        <v>0</v>
      </c>
      <c r="T214" s="241">
        <f>'FY26'!AF214</f>
        <v>0</v>
      </c>
      <c r="U214" s="241">
        <f>'FY27'!AF214</f>
        <v>0</v>
      </c>
      <c r="V214" s="241">
        <f>'FY28'!AF214</f>
        <v>0</v>
      </c>
      <c r="W214" s="241">
        <f>'FY29'!AF214</f>
        <v>0</v>
      </c>
      <c r="X214" s="241">
        <f>'FY30'!AF214</f>
        <v>0</v>
      </c>
      <c r="Z214" s="241">
        <f>'FY26'!AN214</f>
        <v>0</v>
      </c>
      <c r="AA214" s="241">
        <f>'FY27'!AN214</f>
        <v>0</v>
      </c>
      <c r="AB214" s="241">
        <f>'FY28'!AN214</f>
        <v>0</v>
      </c>
      <c r="AC214" s="241">
        <f>'FY29'!AN214</f>
        <v>0</v>
      </c>
      <c r="AD214" s="241">
        <f>'FY30'!AN214</f>
        <v>0</v>
      </c>
      <c r="AF214" s="241">
        <f>'FY26'!AV214</f>
        <v>0</v>
      </c>
      <c r="AG214" s="241">
        <f>'FY27'!AV214</f>
        <v>1000000</v>
      </c>
      <c r="AH214" s="241">
        <f>'FY28'!AV214</f>
        <v>1550000</v>
      </c>
      <c r="AI214" s="241">
        <f>'FY29'!AV214</f>
        <v>1825000</v>
      </c>
      <c r="AJ214" s="241">
        <f>'FY30'!AV214</f>
        <v>1875000</v>
      </c>
      <c r="AL214" s="241">
        <f>'FY26'!BD214</f>
        <v>0</v>
      </c>
      <c r="AM214" s="241">
        <f>'FY27'!BD214</f>
        <v>0</v>
      </c>
      <c r="AN214" s="241">
        <f>'FY28'!BD214</f>
        <v>0</v>
      </c>
      <c r="AO214" s="241">
        <f>'FY29'!BD214</f>
        <v>0</v>
      </c>
      <c r="AP214" s="241">
        <f>'FY30'!BD214</f>
        <v>0</v>
      </c>
      <c r="AR214" s="241">
        <f>'FY26'!BL214</f>
        <v>0</v>
      </c>
      <c r="AS214" s="241">
        <f>'FY27'!BL214</f>
        <v>0</v>
      </c>
      <c r="AT214" s="241">
        <f>'FY28'!BL214</f>
        <v>0</v>
      </c>
      <c r="AU214" s="241">
        <f>'FY29'!BL214</f>
        <v>0</v>
      </c>
      <c r="AV214" s="241">
        <f>'FY30'!BL214</f>
        <v>0</v>
      </c>
      <c r="AX214" s="241">
        <f>'FY26'!BT214</f>
        <v>0</v>
      </c>
      <c r="AY214" s="241">
        <f>'FY27'!BT214</f>
        <v>1000000</v>
      </c>
      <c r="AZ214" s="241">
        <f>'FY28'!BT214</f>
        <v>1550000</v>
      </c>
      <c r="BA214" s="241">
        <f>'FY29'!BT214</f>
        <v>1825000</v>
      </c>
      <c r="BB214" s="241">
        <f>'FY30'!BT214</f>
        <v>1875000</v>
      </c>
    </row>
    <row r="215" spans="1:54" x14ac:dyDescent="0.25">
      <c r="A215" s="217" t="s">
        <v>307</v>
      </c>
      <c r="B215" s="241">
        <f>'FY26'!H215</f>
        <v>8062.5</v>
      </c>
      <c r="C215" s="241">
        <f>'FY27'!H215</f>
        <v>0</v>
      </c>
      <c r="D215" s="241">
        <f>'FY28'!H215</f>
        <v>0</v>
      </c>
      <c r="E215" s="241">
        <f>'FY29'!H215</f>
        <v>0</v>
      </c>
      <c r="F215" s="241">
        <f>'FY30'!H215</f>
        <v>0</v>
      </c>
      <c r="H215" s="241">
        <f>'FY26'!P215</f>
        <v>0</v>
      </c>
      <c r="I215" s="241">
        <f>'FY27'!P215</f>
        <v>0</v>
      </c>
      <c r="J215" s="241">
        <f>'FY28'!P215</f>
        <v>0</v>
      </c>
      <c r="K215" s="241">
        <f>'FY29'!P215</f>
        <v>0</v>
      </c>
      <c r="L215" s="241">
        <f>'FY30'!P215</f>
        <v>0</v>
      </c>
      <c r="N215" s="241">
        <f>'FY26'!X215</f>
        <v>0</v>
      </c>
      <c r="O215" s="241">
        <f>'FY27'!X215</f>
        <v>0</v>
      </c>
      <c r="P215" s="241">
        <f>'FY28'!X215</f>
        <v>0</v>
      </c>
      <c r="Q215" s="241">
        <f>'FY29'!X215</f>
        <v>0</v>
      </c>
      <c r="R215" s="241">
        <f>'FY30'!X215</f>
        <v>0</v>
      </c>
      <c r="T215" s="241">
        <f>'FY26'!AF215</f>
        <v>0</v>
      </c>
      <c r="U215" s="241">
        <f>'FY27'!AF215</f>
        <v>0</v>
      </c>
      <c r="V215" s="241">
        <f>'FY28'!AF215</f>
        <v>0</v>
      </c>
      <c r="W215" s="241">
        <f>'FY29'!AF215</f>
        <v>0</v>
      </c>
      <c r="X215" s="241">
        <f>'FY30'!AF215</f>
        <v>0</v>
      </c>
      <c r="Z215" s="241">
        <f>'FY26'!AN215</f>
        <v>0</v>
      </c>
      <c r="AA215" s="241">
        <f>'FY27'!AN215</f>
        <v>0</v>
      </c>
      <c r="AB215" s="241">
        <f>'FY28'!AN215</f>
        <v>0</v>
      </c>
      <c r="AC215" s="241">
        <f>'FY29'!AN215</f>
        <v>0</v>
      </c>
      <c r="AD215" s="241">
        <f>'FY30'!AN215</f>
        <v>0</v>
      </c>
      <c r="AF215" s="241">
        <f>'FY26'!AV215</f>
        <v>0</v>
      </c>
      <c r="AG215" s="241">
        <f>'FY27'!AV215</f>
        <v>0</v>
      </c>
      <c r="AH215" s="241">
        <f>'FY28'!AV215</f>
        <v>0</v>
      </c>
      <c r="AI215" s="241">
        <f>'FY29'!AV215</f>
        <v>0</v>
      </c>
      <c r="AJ215" s="241">
        <f>'FY30'!AV215</f>
        <v>0</v>
      </c>
      <c r="AL215" s="241">
        <f>'FY26'!BD215</f>
        <v>0</v>
      </c>
      <c r="AM215" s="241">
        <f>'FY27'!BD215</f>
        <v>0</v>
      </c>
      <c r="AN215" s="241">
        <f>'FY28'!BD215</f>
        <v>0</v>
      </c>
      <c r="AO215" s="241">
        <f>'FY29'!BD215</f>
        <v>0</v>
      </c>
      <c r="AP215" s="241">
        <f>'FY30'!BD215</f>
        <v>0</v>
      </c>
      <c r="AR215" s="241">
        <f>'FY26'!BL215</f>
        <v>0</v>
      </c>
      <c r="AS215" s="241">
        <f>'FY27'!BL215</f>
        <v>0</v>
      </c>
      <c r="AT215" s="241">
        <f>'FY28'!BL215</f>
        <v>0</v>
      </c>
      <c r="AU215" s="241">
        <f>'FY29'!BL215</f>
        <v>0</v>
      </c>
      <c r="AV215" s="241">
        <f>'FY30'!BL215</f>
        <v>0</v>
      </c>
      <c r="AX215" s="241">
        <f>'FY26'!BT215</f>
        <v>8062.5</v>
      </c>
      <c r="AY215" s="241">
        <f>'FY27'!BT215</f>
        <v>0</v>
      </c>
      <c r="AZ215" s="241">
        <f>'FY28'!BT215</f>
        <v>0</v>
      </c>
      <c r="BA215" s="241">
        <f>'FY29'!BT215</f>
        <v>0</v>
      </c>
      <c r="BB215" s="241">
        <f>'FY30'!BT215</f>
        <v>0</v>
      </c>
    </row>
    <row r="216" spans="1:54" x14ac:dyDescent="0.25">
      <c r="A216" s="207"/>
      <c r="B216" s="258">
        <f>'FY26'!H216</f>
        <v>898657.5</v>
      </c>
      <c r="C216" s="258">
        <f>'FY27'!H216</f>
        <v>890043</v>
      </c>
      <c r="D216" s="258">
        <f>'FY28'!H216</f>
        <v>890115</v>
      </c>
      <c r="E216" s="258">
        <f>'FY29'!H216</f>
        <v>892331</v>
      </c>
      <c r="F216" s="258">
        <f>'FY30'!H216</f>
        <v>893352</v>
      </c>
      <c r="H216" s="258">
        <f>'FY26'!P216</f>
        <v>2493885</v>
      </c>
      <c r="I216" s="258">
        <f>'FY27'!P216</f>
        <v>2496200</v>
      </c>
      <c r="J216" s="258">
        <f>'FY28'!P216</f>
        <v>2492750</v>
      </c>
      <c r="K216" s="258">
        <f>'FY29'!P216</f>
        <v>2496625</v>
      </c>
      <c r="L216" s="258">
        <f>'FY30'!P216</f>
        <v>2495000</v>
      </c>
      <c r="N216" s="258">
        <f>'FY26'!X216</f>
        <v>1008035</v>
      </c>
      <c r="O216" s="258">
        <f>'FY27'!X216</f>
        <v>1007411</v>
      </c>
      <c r="P216" s="258">
        <f>'FY28'!X216</f>
        <v>1007493</v>
      </c>
      <c r="Q216" s="258">
        <f>'FY29'!X216</f>
        <v>1010001</v>
      </c>
      <c r="R216" s="258">
        <f>'FY30'!X216</f>
        <v>1011156</v>
      </c>
      <c r="T216" s="258">
        <f>'FY26'!AF216</f>
        <v>1158751</v>
      </c>
      <c r="U216" s="258">
        <f>'FY27'!AF216</f>
        <v>1158033</v>
      </c>
      <c r="V216" s="258">
        <f>'FY28'!AF216</f>
        <v>1158128</v>
      </c>
      <c r="W216" s="258">
        <f>'FY29'!AF216</f>
        <v>1161010</v>
      </c>
      <c r="X216" s="258">
        <f>'FY30'!AF216</f>
        <v>1162339</v>
      </c>
      <c r="Z216" s="258">
        <f>'FY26'!AN216</f>
        <v>3052552</v>
      </c>
      <c r="AA216" s="258">
        <f>'FY27'!AN216</f>
        <v>3355590</v>
      </c>
      <c r="AB216" s="258">
        <f>'FY28'!AN216</f>
        <v>3565550</v>
      </c>
      <c r="AC216" s="258">
        <f>'FY29'!AN216</f>
        <v>3582925</v>
      </c>
      <c r="AD216" s="258">
        <f>'FY30'!AN216</f>
        <v>3574450</v>
      </c>
      <c r="AF216" s="258">
        <f>'FY26'!AV216</f>
        <v>277500</v>
      </c>
      <c r="AG216" s="258">
        <f>'FY27'!AV216</f>
        <v>1000000</v>
      </c>
      <c r="AH216" s="258">
        <f>'FY28'!AV216</f>
        <v>1550000</v>
      </c>
      <c r="AI216" s="258">
        <f>'FY29'!AV216</f>
        <v>1825000</v>
      </c>
      <c r="AJ216" s="258">
        <f>'FY30'!AV216</f>
        <v>1875000</v>
      </c>
      <c r="AL216" s="258">
        <f>'FY26'!BD216</f>
        <v>0</v>
      </c>
      <c r="AM216" s="258">
        <f>'FY27'!BD216</f>
        <v>0</v>
      </c>
      <c r="AN216" s="258">
        <f>'FY28'!BD216</f>
        <v>0</v>
      </c>
      <c r="AO216" s="258">
        <f>'FY29'!BD216</f>
        <v>0</v>
      </c>
      <c r="AP216" s="258">
        <f>'FY30'!BD216</f>
        <v>0</v>
      </c>
      <c r="AR216" s="258">
        <f>'FY26'!BL216</f>
        <v>0</v>
      </c>
      <c r="AS216" s="258">
        <f>'FY27'!BL216</f>
        <v>0</v>
      </c>
      <c r="AT216" s="258">
        <f>'FY28'!BL216</f>
        <v>0</v>
      </c>
      <c r="AU216" s="258">
        <f>'FY29'!BL216</f>
        <v>0</v>
      </c>
      <c r="AV216" s="258">
        <f>'FY30'!BL216</f>
        <v>0</v>
      </c>
      <c r="AX216" s="258">
        <f>'FY26'!BT216</f>
        <v>8889380.5</v>
      </c>
      <c r="AY216" s="258">
        <f>'FY27'!BT216</f>
        <v>9907277</v>
      </c>
      <c r="AZ216" s="258">
        <f>'FY28'!BT216</f>
        <v>10664036</v>
      </c>
      <c r="BA216" s="258">
        <f>'FY29'!BT216</f>
        <v>10967892</v>
      </c>
      <c r="BB216" s="258">
        <f>'FY30'!BT216</f>
        <v>11011297</v>
      </c>
    </row>
    <row r="217" spans="1:54" ht="16.5" thickBot="1" x14ac:dyDescent="0.3">
      <c r="B217" s="259">
        <f>'FY26'!H217</f>
        <v>0</v>
      </c>
      <c r="C217" s="259">
        <f>'FY27'!H217</f>
        <v>0</v>
      </c>
      <c r="D217" s="259">
        <f>'FY28'!H217</f>
        <v>0</v>
      </c>
      <c r="E217" s="259">
        <f>'FY29'!H217</f>
        <v>0</v>
      </c>
      <c r="F217" s="259">
        <f>'FY30'!H217</f>
        <v>0</v>
      </c>
      <c r="H217" s="259">
        <f>'FY26'!P217</f>
        <v>0</v>
      </c>
      <c r="I217" s="259">
        <f>'FY27'!P217</f>
        <v>0</v>
      </c>
      <c r="J217" s="259">
        <f>'FY28'!P217</f>
        <v>0</v>
      </c>
      <c r="K217" s="259">
        <f>'FY29'!P217</f>
        <v>0</v>
      </c>
      <c r="L217" s="259">
        <f>'FY30'!P217</f>
        <v>0</v>
      </c>
      <c r="N217" s="259">
        <f>'FY26'!X217</f>
        <v>0</v>
      </c>
      <c r="O217" s="259">
        <f>'FY27'!X217</f>
        <v>0</v>
      </c>
      <c r="P217" s="259">
        <f>'FY28'!X217</f>
        <v>0</v>
      </c>
      <c r="Q217" s="259">
        <f>'FY29'!X217</f>
        <v>0</v>
      </c>
      <c r="R217" s="259">
        <f>'FY30'!X217</f>
        <v>0</v>
      </c>
      <c r="T217" s="259">
        <f>'FY26'!AF217</f>
        <v>0</v>
      </c>
      <c r="U217" s="259">
        <f>'FY27'!AF217</f>
        <v>0</v>
      </c>
      <c r="V217" s="259">
        <f>'FY28'!AF217</f>
        <v>0</v>
      </c>
      <c r="W217" s="259">
        <f>'FY29'!AF217</f>
        <v>0</v>
      </c>
      <c r="X217" s="259">
        <f>'FY30'!AF217</f>
        <v>0</v>
      </c>
      <c r="Z217" s="259">
        <f>'FY26'!AN217</f>
        <v>0</v>
      </c>
      <c r="AA217" s="259">
        <f>'FY27'!AN217</f>
        <v>0</v>
      </c>
      <c r="AB217" s="259">
        <f>'FY28'!AN217</f>
        <v>0</v>
      </c>
      <c r="AC217" s="259">
        <f>'FY29'!AN217</f>
        <v>0</v>
      </c>
      <c r="AD217" s="259">
        <f>'FY30'!AN217</f>
        <v>0</v>
      </c>
      <c r="AF217" s="259">
        <f>'FY26'!AV217</f>
        <v>0</v>
      </c>
      <c r="AG217" s="259">
        <f>'FY27'!AV217</f>
        <v>0</v>
      </c>
      <c r="AH217" s="259">
        <f>'FY28'!AV217</f>
        <v>0</v>
      </c>
      <c r="AI217" s="259">
        <f>'FY29'!AV217</f>
        <v>0</v>
      </c>
      <c r="AJ217" s="259">
        <f>'FY30'!AV217</f>
        <v>0</v>
      </c>
      <c r="AL217" s="259">
        <f>'FY26'!BD217</f>
        <v>0</v>
      </c>
      <c r="AM217" s="259">
        <f>'FY27'!BD217</f>
        <v>0</v>
      </c>
      <c r="AN217" s="259">
        <f>'FY28'!BD217</f>
        <v>0</v>
      </c>
      <c r="AO217" s="259">
        <f>'FY29'!BD217</f>
        <v>0</v>
      </c>
      <c r="AP217" s="259">
        <f>'FY30'!BD217</f>
        <v>0</v>
      </c>
      <c r="AR217" s="259">
        <f>'FY26'!BL217</f>
        <v>0</v>
      </c>
      <c r="AS217" s="259">
        <f>'FY27'!BL217</f>
        <v>0</v>
      </c>
      <c r="AT217" s="259">
        <f>'FY28'!BL217</f>
        <v>0</v>
      </c>
      <c r="AU217" s="259">
        <f>'FY29'!BL217</f>
        <v>0</v>
      </c>
      <c r="AV217" s="259">
        <f>'FY30'!BL217</f>
        <v>0</v>
      </c>
      <c r="AX217" s="259">
        <f>'FY26'!BT217</f>
        <v>0</v>
      </c>
      <c r="AY217" s="259">
        <f>'FY27'!BT217</f>
        <v>0</v>
      </c>
      <c r="AZ217" s="259">
        <f>'FY28'!BT217</f>
        <v>0</v>
      </c>
      <c r="BA217" s="259">
        <f>'FY29'!BT217</f>
        <v>0</v>
      </c>
      <c r="BB217" s="259">
        <f>'FY30'!BT217</f>
        <v>0</v>
      </c>
    </row>
    <row r="218" spans="1:54" ht="16.5" thickBot="1" x14ac:dyDescent="0.3">
      <c r="A218" s="218" t="s">
        <v>340</v>
      </c>
      <c r="B218" s="269">
        <f>'FY26'!H218</f>
        <v>56710.413499999791</v>
      </c>
      <c r="C218" s="269">
        <f>'FY27'!H218</f>
        <v>10803.018960999325</v>
      </c>
      <c r="D218" s="269">
        <f>'FY28'!H218</f>
        <v>10763.712043792009</v>
      </c>
      <c r="E218" s="269">
        <f>'FY29'!H218</f>
        <v>10810.933102918789</v>
      </c>
      <c r="F218" s="269">
        <f>'FY30'!H218</f>
        <v>1118.6970875523984</v>
      </c>
      <c r="H218" s="269">
        <f>'FY26'!P218</f>
        <v>210414.04273437709</v>
      </c>
      <c r="I218" s="269">
        <f>'FY27'!P218</f>
        <v>294769.65726000071</v>
      </c>
      <c r="J218" s="269">
        <f>'FY28'!P218</f>
        <v>123829.19625614583</v>
      </c>
      <c r="K218" s="269">
        <f>'FY29'!P218</f>
        <v>49887.455424711108</v>
      </c>
      <c r="L218" s="269">
        <f>'FY30'!P218</f>
        <v>53053.306576825678</v>
      </c>
      <c r="N218" s="269">
        <f>'FY26'!X218</f>
        <v>96330.194250000641</v>
      </c>
      <c r="O218" s="269">
        <f>'FY27'!X218</f>
        <v>31951.036575499922</v>
      </c>
      <c r="P218" s="269">
        <f>'FY28'!X218</f>
        <v>69577.061117071658</v>
      </c>
      <c r="Q218" s="269">
        <f>'FY29'!X218</f>
        <v>64184.889856455848</v>
      </c>
      <c r="R218" s="269">
        <f>'FY30'!X218</f>
        <v>54135.731225689873</v>
      </c>
      <c r="T218" s="269">
        <f>'FY26'!AF218</f>
        <v>93849.034425001591</v>
      </c>
      <c r="U218" s="269">
        <f>'FY27'!AF218</f>
        <v>11902.37188850157</v>
      </c>
      <c r="V218" s="269">
        <f>'FY28'!AF218</f>
        <v>11196.702687518671</v>
      </c>
      <c r="W218" s="269">
        <f>'FY29'!AF218</f>
        <v>6017.8250124119222</v>
      </c>
      <c r="X218" s="269">
        <f>'FY30'!AF218</f>
        <v>-109932.05622112751</v>
      </c>
      <c r="Z218" s="269">
        <f>'FY26'!AN218</f>
        <v>8419.3994999974966</v>
      </c>
      <c r="AA218" s="269">
        <f>'FY27'!AN218</f>
        <v>117488.00454999879</v>
      </c>
      <c r="AB218" s="269">
        <f>'FY28'!AN218</f>
        <v>101651.36716699973</v>
      </c>
      <c r="AC218" s="269">
        <f>'FY29'!AN218</f>
        <v>42395.297650657594</v>
      </c>
      <c r="AD218" s="269">
        <f>'FY30'!AN218</f>
        <v>40149.620215304196</v>
      </c>
      <c r="AF218" s="269">
        <f>'FY26'!AV218</f>
        <v>-319721.41249999963</v>
      </c>
      <c r="AG218" s="269">
        <f>'FY27'!AV218</f>
        <v>34977.160359999165</v>
      </c>
      <c r="AH218" s="269">
        <f>'FY28'!AV218</f>
        <v>26244.049124998972</v>
      </c>
      <c r="AI218" s="269">
        <f>'FY29'!AV218</f>
        <v>1653.0269265472889</v>
      </c>
      <c r="AJ218" s="269">
        <f>'FY30'!AV218</f>
        <v>80505.0231814906</v>
      </c>
      <c r="AL218" s="269">
        <f>'FY26'!BD218</f>
        <v>47299.0625</v>
      </c>
      <c r="AM218" s="269">
        <f>'FY27'!BD218</f>
        <v>193723.47662500013</v>
      </c>
      <c r="AN218" s="269">
        <f>'FY28'!BD218</f>
        <v>177873.82156875031</v>
      </c>
      <c r="AO218" s="269">
        <f>'FY29'!BD218</f>
        <v>157295.21637001261</v>
      </c>
      <c r="AP218" s="269">
        <f>'FY30'!BD218</f>
        <v>137542.27180444053</v>
      </c>
      <c r="AR218" s="269">
        <f>'FY26'!BL218</f>
        <v>688609.25</v>
      </c>
      <c r="AS218" s="269">
        <f>'FY27'!BL218</f>
        <v>37438.993749999907</v>
      </c>
      <c r="AT218" s="269">
        <f>'FY28'!BL218</f>
        <v>25894.651287499815</v>
      </c>
      <c r="AU218" s="269">
        <f>'FY29'!BL218</f>
        <v>11165.381108625093</v>
      </c>
      <c r="AV218" s="269">
        <f>'FY30'!BL218</f>
        <v>-6946.7491265812423</v>
      </c>
      <c r="AX218" s="269">
        <f>'FY26'!BT218</f>
        <v>881909.98440936208</v>
      </c>
      <c r="AY218" s="269">
        <f>'FY27'!BT218</f>
        <v>733053.71996998787</v>
      </c>
      <c r="AZ218" s="269">
        <f>'FY28'!BT218</f>
        <v>547030.56125278771</v>
      </c>
      <c r="BA218" s="269">
        <f>'FY29'!BT218</f>
        <v>343410.02545233071</v>
      </c>
      <c r="BB218" s="269">
        <f>'FY30'!BT218</f>
        <v>249625.84474357963</v>
      </c>
    </row>
    <row r="219" spans="1:54" x14ac:dyDescent="0.25">
      <c r="B219" s="270">
        <f>'FY26'!H219</f>
        <v>6.4781731365106867E-3</v>
      </c>
      <c r="C219" s="270">
        <f>'FY27'!H219</f>
        <v>1.2029430195965149E-3</v>
      </c>
      <c r="D219" s="270">
        <f>'FY28'!H219</f>
        <v>1.1806396293754168E-3</v>
      </c>
      <c r="E219" s="270">
        <f>'FY29'!H219</f>
        <v>1.1682318400655525E-3</v>
      </c>
      <c r="F219" s="270">
        <f>'FY30'!H219</f>
        <v>1.1905987763762945E-4</v>
      </c>
      <c r="H219" s="270">
        <f>'FY26'!P219</f>
        <v>8.8913130119982076E-3</v>
      </c>
      <c r="I219" s="270">
        <f>'FY27'!P219</f>
        <v>1.2227669171329216E-2</v>
      </c>
      <c r="J219" s="270">
        <f>'FY28'!P219</f>
        <v>5.0598786673896135E-3</v>
      </c>
      <c r="K219" s="270">
        <f>'FY29'!P219</f>
        <v>2.0082530336557988E-3</v>
      </c>
      <c r="L219" s="270">
        <f>'FY30'!P219</f>
        <v>2.1034210705974206E-3</v>
      </c>
      <c r="N219" s="270">
        <f>'FY26'!X219</f>
        <v>9.7625093490052699E-3</v>
      </c>
      <c r="O219" s="270">
        <f>'FY27'!X219</f>
        <v>3.2141494213612102E-3</v>
      </c>
      <c r="P219" s="270">
        <f>'FY28'!X219</f>
        <v>6.8945752440277017E-3</v>
      </c>
      <c r="Q219" s="270">
        <f>'FY29'!X219</f>
        <v>6.2658411891789263E-3</v>
      </c>
      <c r="R219" s="270">
        <f>'FY30'!X219</f>
        <v>5.2049588907246329E-3</v>
      </c>
      <c r="T219" s="270">
        <f>'FY26'!AF219</f>
        <v>8.2398205276631303E-3</v>
      </c>
      <c r="U219" s="270">
        <f>'FY27'!AF219</f>
        <v>1.0254252977062077E-3</v>
      </c>
      <c r="V219" s="270">
        <f>'FY28'!AF219</f>
        <v>9.5021049011343004E-4</v>
      </c>
      <c r="W219" s="270">
        <f>'FY29'!AF219</f>
        <v>5.03124934153087E-4</v>
      </c>
      <c r="X219" s="270">
        <f>'FY30'!AF219</f>
        <v>-9.0551962263879862E-3</v>
      </c>
      <c r="Z219" s="270">
        <f>'FY26'!AN219</f>
        <v>3.6542213759322226E-4</v>
      </c>
      <c r="AA219" s="270">
        <f>'FY27'!AN219</f>
        <v>4.8974935216218813E-3</v>
      </c>
      <c r="AB219" s="270">
        <f>'FY28'!AN219</f>
        <v>4.1058094328622436E-3</v>
      </c>
      <c r="AC219" s="270">
        <f>'FY29'!AN219</f>
        <v>1.7082443719054821E-3</v>
      </c>
      <c r="AD219" s="270">
        <f>'FY30'!AN219</f>
        <v>1.5933104067211983E-3</v>
      </c>
      <c r="AF219" s="270">
        <f>'FY26'!AV219</f>
        <v>-8.8749871616932582E-2</v>
      </c>
      <c r="AG219" s="270">
        <f>'FY27'!AV219</f>
        <v>5.2461189531806864E-3</v>
      </c>
      <c r="AH219" s="270">
        <f>'FY28'!AV219</f>
        <v>3.2666839840174975E-3</v>
      </c>
      <c r="AI219" s="270">
        <f>'FY29'!AV219</f>
        <v>1.8083451488811459E-4</v>
      </c>
      <c r="AJ219" s="270">
        <f>'FY30'!AV219</f>
        <v>8.6062049732733188E-3</v>
      </c>
      <c r="AL219" s="270">
        <f>'FY26'!BD219</f>
        <v>3.5651395180559431E-2</v>
      </c>
      <c r="AM219" s="270">
        <f>'FY27'!BD219</f>
        <v>0.11166120242005123</v>
      </c>
      <c r="AN219" s="270">
        <f>'FY28'!BD219</f>
        <v>0.1009884709541609</v>
      </c>
      <c r="AO219" s="270">
        <f>'FY29'!BD219</f>
        <v>8.7980195391337862E-2</v>
      </c>
      <c r="AP219" s="270">
        <f>'FY30'!BD219</f>
        <v>7.5769093619856606E-2</v>
      </c>
      <c r="AR219" s="270" t="e">
        <f>'FY26'!BL219</f>
        <v>#DIV/0!</v>
      </c>
      <c r="AS219" s="270" t="e">
        <f>'FY27'!BL219</f>
        <v>#DIV/0!</v>
      </c>
      <c r="AT219" s="270" t="e">
        <f>'FY28'!BL219</f>
        <v>#DIV/0!</v>
      </c>
      <c r="AU219" s="270" t="e">
        <f>'FY29'!BL219</f>
        <v>#DIV/0!</v>
      </c>
      <c r="AV219" s="270" t="e">
        <f>'FY30'!BL219</f>
        <v>#DIV/0!</v>
      </c>
      <c r="AX219" s="270">
        <f>'FY26'!BT219</f>
        <v>1.0801675430136881E-2</v>
      </c>
      <c r="AY219" s="270">
        <f>'FY27'!BT219</f>
        <v>8.4233057049234398E-3</v>
      </c>
      <c r="AZ219" s="270">
        <f>'FY28'!BT219</f>
        <v>6.0769235693786785E-3</v>
      </c>
      <c r="BA219" s="270">
        <f>'FY29'!BT219</f>
        <v>3.7308183164656782E-3</v>
      </c>
      <c r="BB219" s="270">
        <f>'FY30'!BT219</f>
        <v>2.6689974004516213E-3</v>
      </c>
    </row>
    <row r="220" spans="1:54" x14ac:dyDescent="0.25">
      <c r="A220" s="219" t="str">
        <f>A1</f>
        <v xml:space="preserve">Pinecrest Academy </v>
      </c>
      <c r="B220" s="271"/>
    </row>
    <row r="221" spans="1:54" x14ac:dyDescent="0.25">
      <c r="AF221" s="335" t="s">
        <v>68</v>
      </c>
      <c r="AG221" s="335" t="s">
        <v>359</v>
      </c>
      <c r="AH221" s="335" t="s">
        <v>360</v>
      </c>
      <c r="AI221" s="335" t="s">
        <v>361</v>
      </c>
      <c r="AJ221" s="335" t="s">
        <v>362</v>
      </c>
    </row>
  </sheetData>
  <printOptions horizontalCentered="1"/>
  <pageMargins left="0.45" right="0.45" top="1" bottom="1" header="0.3" footer="0.3"/>
  <pageSetup scale="51" orientation="portrait" r:id="rId1"/>
  <rowBreaks count="3" manualBreakCount="3">
    <brk id="66" max="16383" man="1"/>
    <brk id="133" max="16383" man="1"/>
    <brk id="195" max="16383" man="1"/>
  </rowBreaks>
  <colBreaks count="8" manualBreakCount="8">
    <brk id="6" max="1048575" man="1"/>
    <brk id="13" max="1048575" man="1"/>
    <brk id="19" max="1048575" man="1"/>
    <brk id="25" max="1048575" man="1"/>
    <brk id="31" max="1048575" man="1"/>
    <brk id="37" max="1048575" man="1"/>
    <brk id="43" max="1048575" man="1"/>
    <brk id="49" max="21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ABA7-8D0E-4E97-A04E-02092C6B4A76}">
  <dimension ref="B1:K158"/>
  <sheetViews>
    <sheetView topLeftCell="B34" workbookViewId="0">
      <selection activeCell="E57" sqref="E57"/>
    </sheetView>
  </sheetViews>
  <sheetFormatPr defaultColWidth="8.85546875" defaultRowHeight="15" x14ac:dyDescent="0.25"/>
  <cols>
    <col min="2" max="2" width="54" bestFit="1" customWidth="1"/>
    <col min="3" max="3" width="12.42578125" customWidth="1"/>
    <col min="4" max="4" width="11.85546875" bestFit="1" customWidth="1"/>
    <col min="5" max="5" width="25.42578125" customWidth="1"/>
    <col min="6" max="6" width="29.5703125" bestFit="1" customWidth="1"/>
    <col min="7" max="7" width="22.5703125" customWidth="1"/>
    <col min="8" max="8" width="17.140625" customWidth="1"/>
    <col min="9" max="9" width="17.42578125" customWidth="1"/>
    <col min="10" max="10" width="14.5703125" customWidth="1"/>
    <col min="11" max="11" width="14.5703125" bestFit="1" customWidth="1"/>
    <col min="13" max="13" width="15.42578125" bestFit="1" customWidth="1"/>
  </cols>
  <sheetData>
    <row r="1" spans="2:8" ht="21" x14ac:dyDescent="0.35">
      <c r="B1" s="125"/>
      <c r="C1" s="125"/>
      <c r="D1" s="125"/>
      <c r="E1" s="125"/>
      <c r="F1" s="125"/>
      <c r="G1" s="342"/>
      <c r="H1" s="342"/>
    </row>
    <row r="2" spans="2:8" ht="21" x14ac:dyDescent="0.35">
      <c r="B2" s="130" t="s">
        <v>124</v>
      </c>
      <c r="C2" s="125"/>
      <c r="D2" s="125"/>
      <c r="E2" s="134">
        <v>49000</v>
      </c>
      <c r="F2" s="134"/>
      <c r="G2" s="323"/>
      <c r="H2" s="324"/>
    </row>
    <row r="3" spans="2:8" ht="21" x14ac:dyDescent="0.35">
      <c r="B3" s="130" t="s">
        <v>125</v>
      </c>
      <c r="C3" s="125"/>
      <c r="D3" s="125"/>
      <c r="E3" s="135">
        <v>6.09</v>
      </c>
      <c r="F3" s="134"/>
      <c r="G3" s="323"/>
      <c r="H3" s="324"/>
    </row>
    <row r="4" spans="2:8" ht="18.75" x14ac:dyDescent="0.3">
      <c r="B4" s="125"/>
      <c r="C4" s="125"/>
      <c r="D4" s="125"/>
      <c r="E4" s="125"/>
      <c r="F4" s="125"/>
    </row>
    <row r="5" spans="2:8" ht="18.75" x14ac:dyDescent="0.3">
      <c r="B5" s="136" t="s">
        <v>126</v>
      </c>
      <c r="C5" s="128"/>
      <c r="D5" s="128"/>
      <c r="E5" s="128"/>
      <c r="F5" s="128" t="s">
        <v>127</v>
      </c>
      <c r="G5" s="286"/>
    </row>
    <row r="6" spans="2:8" ht="18.75" x14ac:dyDescent="0.3">
      <c r="B6" s="137" t="s">
        <v>128</v>
      </c>
      <c r="C6" s="138"/>
      <c r="D6" s="139">
        <f>E6/E2</f>
        <v>144.24579591836735</v>
      </c>
      <c r="E6" s="140">
        <v>7068044</v>
      </c>
      <c r="F6" s="141"/>
      <c r="G6" s="42"/>
    </row>
    <row r="7" spans="2:8" ht="18.75" x14ac:dyDescent="0.3">
      <c r="B7" s="142" t="s">
        <v>129</v>
      </c>
      <c r="C7" s="125"/>
      <c r="D7" s="143">
        <f>E7/E2</f>
        <v>20.068979591836733</v>
      </c>
      <c r="E7" s="144">
        <v>983380</v>
      </c>
      <c r="F7" s="145"/>
      <c r="G7" s="42"/>
    </row>
    <row r="8" spans="2:8" ht="18.75" x14ac:dyDescent="0.3">
      <c r="B8" s="142" t="s">
        <v>130</v>
      </c>
      <c r="C8" s="125"/>
      <c r="D8" s="143">
        <f>E8/E2</f>
        <v>12.66</v>
      </c>
      <c r="E8" s="144">
        <v>620340</v>
      </c>
      <c r="F8" s="145"/>
      <c r="G8" s="42"/>
    </row>
    <row r="9" spans="2:8" ht="18.75" x14ac:dyDescent="0.3">
      <c r="B9" s="142" t="s">
        <v>131</v>
      </c>
      <c r="C9" s="125"/>
      <c r="D9" s="143">
        <f>E9/E2</f>
        <v>28.692183673469387</v>
      </c>
      <c r="E9" s="144">
        <v>1405917</v>
      </c>
      <c r="F9" s="145"/>
      <c r="G9" s="42"/>
    </row>
    <row r="10" spans="2:8" ht="18.75" x14ac:dyDescent="0.3">
      <c r="B10" s="142" t="s">
        <v>132</v>
      </c>
      <c r="C10" s="125"/>
      <c r="D10" s="143">
        <f>E10/E2</f>
        <v>1.9387755102040816</v>
      </c>
      <c r="E10" s="144">
        <v>95000</v>
      </c>
      <c r="F10" s="145"/>
      <c r="G10" s="42"/>
    </row>
    <row r="11" spans="2:8" ht="18.75" x14ac:dyDescent="0.3">
      <c r="B11" s="142" t="s">
        <v>133</v>
      </c>
      <c r="C11" s="125"/>
      <c r="D11" s="143">
        <v>0</v>
      </c>
      <c r="E11" s="144">
        <v>1000000</v>
      </c>
      <c r="F11" s="145" t="s">
        <v>134</v>
      </c>
      <c r="G11" s="42"/>
    </row>
    <row r="12" spans="2:8" ht="18.75" x14ac:dyDescent="0.3">
      <c r="B12" s="142" t="s">
        <v>135</v>
      </c>
      <c r="C12" s="125"/>
      <c r="D12" s="146">
        <v>0.2</v>
      </c>
      <c r="E12" s="144">
        <f>SUM(E6:E11)*D12</f>
        <v>2234536.2000000002</v>
      </c>
      <c r="F12" s="147"/>
      <c r="G12" s="42"/>
    </row>
    <row r="13" spans="2:8" ht="18.75" x14ac:dyDescent="0.3">
      <c r="B13" s="148" t="s">
        <v>136</v>
      </c>
      <c r="C13" s="149"/>
      <c r="D13" s="150">
        <f>E13/$E$2</f>
        <v>273.61667755102042</v>
      </c>
      <c r="E13" s="151">
        <f>SUM(E6:E12)</f>
        <v>13407217.199999999</v>
      </c>
      <c r="F13" s="152"/>
    </row>
    <row r="14" spans="2:8" ht="18.75" x14ac:dyDescent="0.3">
      <c r="B14" s="142"/>
      <c r="C14" s="125"/>
      <c r="D14" s="143"/>
      <c r="E14" s="144"/>
      <c r="F14" s="145"/>
      <c r="H14" s="23"/>
    </row>
    <row r="15" spans="2:8" ht="18.75" x14ac:dyDescent="0.3">
      <c r="B15" s="153" t="s">
        <v>137</v>
      </c>
      <c r="C15" s="128"/>
      <c r="D15" s="154"/>
      <c r="E15" s="128"/>
      <c r="F15" s="155"/>
      <c r="G15" s="325"/>
      <c r="H15" s="42"/>
    </row>
    <row r="16" spans="2:8" ht="18.75" x14ac:dyDescent="0.3">
      <c r="B16" s="142" t="s">
        <v>138</v>
      </c>
      <c r="C16" s="125"/>
      <c r="D16" s="156">
        <f t="shared" ref="D16:D33" si="0">E16/$E$2</f>
        <v>13.36734693877551</v>
      </c>
      <c r="E16" s="126">
        <f>655000</f>
        <v>655000</v>
      </c>
      <c r="F16" s="157"/>
      <c r="G16" s="326"/>
    </row>
    <row r="17" spans="2:11" ht="18.75" x14ac:dyDescent="0.3">
      <c r="B17" s="142" t="s">
        <v>139</v>
      </c>
      <c r="C17" s="125"/>
      <c r="D17" s="156">
        <f t="shared" si="0"/>
        <v>18.278372244897959</v>
      </c>
      <c r="E17" s="126">
        <f>22391006*0.04</f>
        <v>895640.24</v>
      </c>
      <c r="F17" s="157"/>
      <c r="G17" s="62"/>
    </row>
    <row r="18" spans="2:11" ht="18.75" x14ac:dyDescent="0.3">
      <c r="B18" s="142" t="s">
        <v>140</v>
      </c>
      <c r="C18" s="125"/>
      <c r="D18" s="156">
        <f t="shared" si="0"/>
        <v>0</v>
      </c>
      <c r="E18" s="126">
        <v>0</v>
      </c>
      <c r="F18" s="157" t="s">
        <v>141</v>
      </c>
    </row>
    <row r="19" spans="2:11" ht="18.75" x14ac:dyDescent="0.3">
      <c r="B19" s="142" t="s">
        <v>142</v>
      </c>
      <c r="C19" s="125"/>
      <c r="D19" s="156">
        <f t="shared" si="0"/>
        <v>0</v>
      </c>
      <c r="E19" s="126">
        <v>0</v>
      </c>
      <c r="F19" s="157" t="s">
        <v>141</v>
      </c>
    </row>
    <row r="20" spans="2:11" ht="18.75" x14ac:dyDescent="0.3">
      <c r="B20" s="142" t="s">
        <v>143</v>
      </c>
      <c r="C20" s="125"/>
      <c r="D20" s="156">
        <f t="shared" si="0"/>
        <v>0</v>
      </c>
      <c r="E20" s="126">
        <v>0</v>
      </c>
      <c r="F20" s="157" t="s">
        <v>141</v>
      </c>
    </row>
    <row r="21" spans="2:11" ht="18.75" x14ac:dyDescent="0.3">
      <c r="B21" s="142" t="s">
        <v>144</v>
      </c>
      <c r="C21" s="125" t="s">
        <v>145</v>
      </c>
      <c r="D21" s="156">
        <f t="shared" si="0"/>
        <v>1.5306122448979591</v>
      </c>
      <c r="E21" s="126">
        <v>75000</v>
      </c>
      <c r="F21" s="157"/>
      <c r="G21" s="22"/>
    </row>
    <row r="22" spans="2:11" ht="18.75" x14ac:dyDescent="0.3">
      <c r="B22" s="142" t="s">
        <v>146</v>
      </c>
      <c r="C22" s="125"/>
      <c r="D22" s="156">
        <f t="shared" si="0"/>
        <v>0.61224489795918369</v>
      </c>
      <c r="E22" s="126">
        <v>30000</v>
      </c>
      <c r="F22" s="157"/>
      <c r="G22" s="22"/>
    </row>
    <row r="23" spans="2:11" ht="18.75" x14ac:dyDescent="0.3">
      <c r="B23" s="142" t="s">
        <v>147</v>
      </c>
      <c r="C23" s="125"/>
      <c r="D23" s="156">
        <f t="shared" si="0"/>
        <v>0.61224489795918369</v>
      </c>
      <c r="E23" s="126">
        <v>30000</v>
      </c>
      <c r="F23" s="157"/>
      <c r="G23" s="22"/>
    </row>
    <row r="24" spans="2:11" ht="18.75" x14ac:dyDescent="0.3">
      <c r="B24" s="142" t="s">
        <v>148</v>
      </c>
      <c r="C24" s="125"/>
      <c r="D24" s="156">
        <f t="shared" si="0"/>
        <v>1.2244897959183674</v>
      </c>
      <c r="E24" s="126">
        <v>60000</v>
      </c>
      <c r="F24" s="157"/>
      <c r="G24" s="22"/>
    </row>
    <row r="25" spans="2:11" ht="18.75" x14ac:dyDescent="0.3">
      <c r="B25" s="142" t="s">
        <v>149</v>
      </c>
      <c r="C25" s="125"/>
      <c r="D25" s="156">
        <f t="shared" si="0"/>
        <v>1.2244897959183674</v>
      </c>
      <c r="E25" s="126">
        <v>60000</v>
      </c>
      <c r="F25" s="157"/>
      <c r="G25" s="22"/>
    </row>
    <row r="26" spans="2:11" ht="37.5" x14ac:dyDescent="0.3">
      <c r="B26" s="142" t="s">
        <v>150</v>
      </c>
      <c r="C26" s="125"/>
      <c r="D26" s="156">
        <f t="shared" si="0"/>
        <v>0</v>
      </c>
      <c r="E26" s="126">
        <v>0</v>
      </c>
      <c r="F26" s="157" t="s">
        <v>151</v>
      </c>
      <c r="G26" s="22"/>
    </row>
    <row r="27" spans="2:11" ht="37.5" x14ac:dyDescent="0.3">
      <c r="B27" s="142" t="s">
        <v>152</v>
      </c>
      <c r="C27" s="125"/>
      <c r="D27" s="156">
        <f t="shared" si="0"/>
        <v>2.0408163265306123</v>
      </c>
      <c r="E27" s="126">
        <v>100000</v>
      </c>
      <c r="F27" s="157" t="s">
        <v>151</v>
      </c>
      <c r="G27" s="22"/>
    </row>
    <row r="28" spans="2:11" ht="18.75" x14ac:dyDescent="0.3">
      <c r="B28" s="142" t="s">
        <v>153</v>
      </c>
      <c r="C28" s="125"/>
      <c r="D28" s="156">
        <f t="shared" si="0"/>
        <v>2.795918367346939</v>
      </c>
      <c r="E28" s="126">
        <v>137000</v>
      </c>
      <c r="F28" s="145" t="s">
        <v>390</v>
      </c>
    </row>
    <row r="29" spans="2:11" ht="18.75" x14ac:dyDescent="0.3">
      <c r="B29" s="142" t="s">
        <v>155</v>
      </c>
      <c r="C29" s="125"/>
      <c r="D29" s="156">
        <f t="shared" si="0"/>
        <v>0.30612244897959184</v>
      </c>
      <c r="E29" s="126">
        <v>15000</v>
      </c>
      <c r="F29" s="157"/>
    </row>
    <row r="30" spans="2:11" ht="18.75" x14ac:dyDescent="0.3">
      <c r="B30" s="142" t="s">
        <v>156</v>
      </c>
      <c r="C30" s="125"/>
      <c r="D30" s="156">
        <f t="shared" si="0"/>
        <v>0.49744897959183676</v>
      </c>
      <c r="E30" s="126">
        <f>(E41/500)*1.95</f>
        <v>24375</v>
      </c>
      <c r="F30" s="157"/>
      <c r="G30" s="22"/>
    </row>
    <row r="31" spans="2:11" ht="18.75" x14ac:dyDescent="0.3">
      <c r="B31" s="142" t="s">
        <v>157</v>
      </c>
      <c r="C31" s="125"/>
      <c r="D31" s="143">
        <f t="shared" si="0"/>
        <v>0.81632653061224492</v>
      </c>
      <c r="E31" s="126">
        <v>40000</v>
      </c>
      <c r="F31" s="157" t="s">
        <v>391</v>
      </c>
      <c r="G31" s="22"/>
    </row>
    <row r="32" spans="2:11" ht="18.75" x14ac:dyDescent="0.3">
      <c r="B32" s="158" t="s">
        <v>158</v>
      </c>
      <c r="C32" s="159">
        <v>0</v>
      </c>
      <c r="D32" s="143">
        <v>0</v>
      </c>
      <c r="E32" s="126">
        <f>(E13*C32)*0.7</f>
        <v>0</v>
      </c>
      <c r="F32" s="160" t="s">
        <v>159</v>
      </c>
      <c r="G32" s="327">
        <f>E43*0.01</f>
        <v>232975.9166</v>
      </c>
      <c r="H32" s="328">
        <f>(((E43*0.0837)/2)/12)*9</f>
        <v>731253.15822824999</v>
      </c>
      <c r="I32" s="328" t="e">
        <f>#REF!*0.088/12*7</f>
        <v>#REF!</v>
      </c>
      <c r="J32" s="327">
        <v>0</v>
      </c>
      <c r="K32" s="23"/>
    </row>
    <row r="33" spans="2:11" ht="18.75" x14ac:dyDescent="0.3">
      <c r="B33" s="158" t="s">
        <v>160</v>
      </c>
      <c r="C33" s="161">
        <v>0</v>
      </c>
      <c r="D33" s="143">
        <f t="shared" si="0"/>
        <v>0</v>
      </c>
      <c r="E33" s="162">
        <f>(E13*0.7)*C33</f>
        <v>0</v>
      </c>
      <c r="F33" s="160" t="s">
        <v>159</v>
      </c>
      <c r="G33" s="327"/>
      <c r="H33" s="328"/>
      <c r="I33" s="328"/>
      <c r="J33" s="327"/>
      <c r="K33" s="23"/>
    </row>
    <row r="34" spans="2:11" ht="18.75" x14ac:dyDescent="0.3">
      <c r="B34" s="163" t="s">
        <v>161</v>
      </c>
      <c r="C34" s="128"/>
      <c r="D34" s="164">
        <f>E34/E2</f>
        <v>1.0204081632653061</v>
      </c>
      <c r="E34" s="154">
        <v>50000</v>
      </c>
      <c r="F34" s="165" t="s">
        <v>392</v>
      </c>
      <c r="G34" s="12" t="s">
        <v>393</v>
      </c>
      <c r="H34" s="12" t="s">
        <v>394</v>
      </c>
      <c r="I34" s="12" t="s">
        <v>395</v>
      </c>
      <c r="J34" s="12" t="s">
        <v>396</v>
      </c>
      <c r="K34" s="12" t="s">
        <v>397</v>
      </c>
    </row>
    <row r="35" spans="2:11" ht="18.75" x14ac:dyDescent="0.3">
      <c r="B35" s="148" t="s">
        <v>162</v>
      </c>
      <c r="C35" s="149"/>
      <c r="D35" s="166">
        <f>E35/E2</f>
        <v>44.326841632653064</v>
      </c>
      <c r="E35" s="167">
        <f>SUM(E16:E34)</f>
        <v>2172015.2400000002</v>
      </c>
      <c r="F35" s="167"/>
      <c r="G35" s="22"/>
    </row>
    <row r="36" spans="2:11" ht="18.75" x14ac:dyDescent="0.3">
      <c r="B36" s="142"/>
      <c r="C36" s="125"/>
      <c r="D36" s="125"/>
      <c r="E36" s="168"/>
      <c r="F36" s="168"/>
      <c r="G36" s="22"/>
    </row>
    <row r="37" spans="2:11" ht="18.75" x14ac:dyDescent="0.3">
      <c r="B37" s="142" t="s">
        <v>163</v>
      </c>
      <c r="C37" s="125"/>
      <c r="D37" s="143">
        <f>E37/$E$2</f>
        <v>317.94351918367346</v>
      </c>
      <c r="E37" s="169">
        <f>E35+E13</f>
        <v>15579232.439999999</v>
      </c>
      <c r="F37" s="170" t="s">
        <v>164</v>
      </c>
    </row>
    <row r="38" spans="2:11" ht="18.75" x14ac:dyDescent="0.3">
      <c r="B38" s="142"/>
      <c r="C38" s="125"/>
      <c r="D38" s="125"/>
      <c r="E38" s="169"/>
      <c r="F38" s="169"/>
      <c r="J38" s="23"/>
    </row>
    <row r="39" spans="2:11" ht="18.75" x14ac:dyDescent="0.3">
      <c r="B39" s="171" t="s">
        <v>165</v>
      </c>
      <c r="C39" s="125"/>
      <c r="D39" s="143">
        <f>E39/$E$2</f>
        <v>29.966514693877549</v>
      </c>
      <c r="E39" s="168">
        <f>(E37-E17)*0.1</f>
        <v>1468359.22</v>
      </c>
      <c r="F39" s="168"/>
    </row>
    <row r="40" spans="2:11" ht="18.75" x14ac:dyDescent="0.3">
      <c r="B40" s="171"/>
      <c r="C40" s="125"/>
      <c r="D40" s="143"/>
      <c r="E40" s="168"/>
      <c r="F40" s="168"/>
    </row>
    <row r="41" spans="2:11" ht="18.75" x14ac:dyDescent="0.3">
      <c r="B41" s="142" t="s">
        <v>166</v>
      </c>
      <c r="C41" s="125"/>
      <c r="D41" s="172">
        <f>E41/E2</f>
        <v>127.55102040816327</v>
      </c>
      <c r="E41" s="168">
        <v>6250000</v>
      </c>
      <c r="F41" s="168"/>
      <c r="K41" s="42"/>
    </row>
    <row r="42" spans="2:11" ht="18.75" x14ac:dyDescent="0.3">
      <c r="B42" s="163"/>
      <c r="C42" s="128"/>
      <c r="D42" s="128"/>
      <c r="E42" s="173"/>
      <c r="F42" s="173"/>
      <c r="K42" s="42"/>
    </row>
    <row r="43" spans="2:11" ht="18.75" x14ac:dyDescent="0.3">
      <c r="B43" s="163" t="s">
        <v>167</v>
      </c>
      <c r="C43" s="128"/>
      <c r="D43" s="174">
        <f>E43/$E$2</f>
        <v>475.46105428571428</v>
      </c>
      <c r="E43" s="173">
        <f>E37+E39+E41</f>
        <v>23297591.66</v>
      </c>
      <c r="F43" s="173"/>
    </row>
    <row r="44" spans="2:11" ht="15.75" x14ac:dyDescent="0.25">
      <c r="B44" s="116"/>
      <c r="C44" s="116"/>
      <c r="D44" s="116"/>
      <c r="E44" s="116"/>
      <c r="H44" s="42"/>
    </row>
    <row r="45" spans="2:11" ht="15.75" x14ac:dyDescent="0.25">
      <c r="B45" s="175"/>
      <c r="C45" s="116"/>
      <c r="D45" s="329" t="s">
        <v>401</v>
      </c>
      <c r="E45" s="259">
        <f>E43*0.0325</f>
        <v>757171.72895000002</v>
      </c>
    </row>
    <row r="46" spans="2:11" ht="15.75" x14ac:dyDescent="0.25">
      <c r="B46" s="175"/>
      <c r="C46" s="116"/>
      <c r="D46" s="329" t="s">
        <v>400</v>
      </c>
      <c r="E46" s="259">
        <v>1500000</v>
      </c>
    </row>
    <row r="47" spans="2:11" ht="15.75" x14ac:dyDescent="0.25">
      <c r="B47" s="116"/>
      <c r="C47" s="177"/>
      <c r="D47" s="329" t="s">
        <v>117</v>
      </c>
      <c r="E47" s="259">
        <f>E43*0.07</f>
        <v>1630831.4162000001</v>
      </c>
    </row>
    <row r="48" spans="2:11" ht="15.75" hidden="1" x14ac:dyDescent="0.25">
      <c r="B48" s="116" t="s">
        <v>113</v>
      </c>
      <c r="C48" s="22"/>
      <c r="E48" s="17"/>
    </row>
    <row r="49" spans="2:6" ht="15.75" hidden="1" x14ac:dyDescent="0.25">
      <c r="B49" s="116" t="s">
        <v>114</v>
      </c>
      <c r="C49" s="22">
        <v>20618709</v>
      </c>
      <c r="E49" s="17"/>
    </row>
    <row r="50" spans="2:6" ht="15.75" hidden="1" x14ac:dyDescent="0.25">
      <c r="B50" s="116" t="s">
        <v>168</v>
      </c>
      <c r="C50" s="22">
        <v>1000000</v>
      </c>
      <c r="E50" s="17"/>
    </row>
    <row r="51" spans="2:6" hidden="1" x14ac:dyDescent="0.25">
      <c r="B51" t="s">
        <v>169</v>
      </c>
      <c r="C51" s="178">
        <f>C49*0.035</f>
        <v>721654.81500000006</v>
      </c>
      <c r="D51" s="9"/>
      <c r="E51" s="334"/>
    </row>
    <row r="52" spans="2:6" hidden="1" x14ac:dyDescent="0.25">
      <c r="B52" s="9" t="s">
        <v>117</v>
      </c>
      <c r="C52" s="179">
        <f>C49*0.025</f>
        <v>515467.72500000003</v>
      </c>
      <c r="D52" s="9"/>
      <c r="E52" s="334"/>
    </row>
    <row r="53" spans="2:6" ht="15.75" hidden="1" x14ac:dyDescent="0.25">
      <c r="B53" s="116" t="s">
        <v>170</v>
      </c>
      <c r="C53" s="23">
        <f>SUM(C49:C52)</f>
        <v>22855831.540000003</v>
      </c>
      <c r="E53" s="17"/>
    </row>
    <row r="54" spans="2:6" hidden="1" x14ac:dyDescent="0.25">
      <c r="E54" s="17"/>
    </row>
    <row r="55" spans="2:6" hidden="1" x14ac:dyDescent="0.25">
      <c r="B55" t="s">
        <v>171</v>
      </c>
      <c r="E55" s="17"/>
    </row>
    <row r="56" spans="2:6" hidden="1" x14ac:dyDescent="0.25">
      <c r="E56" s="17"/>
    </row>
    <row r="57" spans="2:6" x14ac:dyDescent="0.25">
      <c r="D57" s="330" t="s">
        <v>170</v>
      </c>
      <c r="E57" s="17">
        <f>SUM(E43:E56)</f>
        <v>27185594.805150002</v>
      </c>
    </row>
    <row r="59" spans="2:6" x14ac:dyDescent="0.25">
      <c r="D59" s="330" t="s">
        <v>121</v>
      </c>
      <c r="E59" s="326">
        <v>0.06</v>
      </c>
      <c r="F59" s="281">
        <v>5.5E-2</v>
      </c>
    </row>
    <row r="60" spans="2:6" x14ac:dyDescent="0.25">
      <c r="D60" s="330" t="s">
        <v>398</v>
      </c>
      <c r="E60">
        <v>35</v>
      </c>
      <c r="F60">
        <v>35</v>
      </c>
    </row>
    <row r="61" spans="2:6" x14ac:dyDescent="0.25">
      <c r="D61" s="330" t="s">
        <v>399</v>
      </c>
      <c r="E61" s="17">
        <v>1860115</v>
      </c>
      <c r="F61" s="71">
        <v>1751900</v>
      </c>
    </row>
    <row r="106" spans="4:5" x14ac:dyDescent="0.25">
      <c r="D106" s="180"/>
      <c r="E106" s="42"/>
    </row>
    <row r="148" spans="3:11" x14ac:dyDescent="0.25">
      <c r="F148" s="23"/>
      <c r="G148" s="42"/>
      <c r="H148" s="331"/>
      <c r="I148" s="331"/>
      <c r="J148" s="42"/>
      <c r="K148" s="42"/>
    </row>
    <row r="154" spans="3:11" x14ac:dyDescent="0.25">
      <c r="D154" s="22"/>
    </row>
    <row r="155" spans="3:11" x14ac:dyDescent="0.25">
      <c r="C155" s="330"/>
      <c r="D155" s="332"/>
    </row>
    <row r="156" spans="3:11" x14ac:dyDescent="0.25">
      <c r="D156" s="22"/>
    </row>
    <row r="157" spans="3:11" x14ac:dyDescent="0.25">
      <c r="D157" s="333"/>
    </row>
    <row r="158" spans="3:11" x14ac:dyDescent="0.25">
      <c r="D158" s="22"/>
    </row>
  </sheetData>
  <mergeCells count="1">
    <mergeCell ref="G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B841-41D0-40C8-A733-F811A42BF24B}">
  <sheetPr>
    <pageSetUpPr fitToPage="1"/>
  </sheetPr>
  <dimension ref="B3:G12"/>
  <sheetViews>
    <sheetView workbookViewId="0">
      <selection activeCell="C9" sqref="C9"/>
    </sheetView>
  </sheetViews>
  <sheetFormatPr defaultRowHeight="15" x14ac:dyDescent="0.25"/>
  <cols>
    <col min="2" max="2" width="12" bestFit="1" customWidth="1"/>
    <col min="3" max="3" width="10.5703125" style="17" customWidth="1"/>
    <col min="4" max="7" width="10.5703125" customWidth="1"/>
  </cols>
  <sheetData>
    <row r="3" spans="2:7" x14ac:dyDescent="0.25">
      <c r="B3" s="304"/>
      <c r="C3" s="302" t="s">
        <v>68</v>
      </c>
      <c r="D3" s="301" t="s">
        <v>359</v>
      </c>
      <c r="E3" s="301" t="s">
        <v>360</v>
      </c>
      <c r="F3" s="301" t="s">
        <v>361</v>
      </c>
      <c r="G3" s="301" t="s">
        <v>362</v>
      </c>
    </row>
    <row r="4" spans="2:7" ht="15.95" customHeight="1" x14ac:dyDescent="0.25">
      <c r="B4" s="305" t="s">
        <v>355</v>
      </c>
      <c r="C4" s="302">
        <v>9416</v>
      </c>
      <c r="D4" s="302">
        <f>C4+70</f>
        <v>9486</v>
      </c>
      <c r="E4" s="302">
        <v>9630</v>
      </c>
      <c r="F4" s="302">
        <v>9775</v>
      </c>
      <c r="G4" s="302">
        <v>9925</v>
      </c>
    </row>
    <row r="5" spans="2:7" ht="15.95" customHeight="1" x14ac:dyDescent="0.25">
      <c r="B5" s="305" t="s">
        <v>356</v>
      </c>
      <c r="C5" s="302">
        <v>3294</v>
      </c>
      <c r="D5" s="302">
        <v>3320</v>
      </c>
      <c r="E5" s="302">
        <f>E4*0.35</f>
        <v>3370.5</v>
      </c>
      <c r="F5" s="302">
        <f t="shared" ref="F5:G5" si="0">F4*0.35</f>
        <v>3421.25</v>
      </c>
      <c r="G5" s="302">
        <f t="shared" si="0"/>
        <v>3473.75</v>
      </c>
    </row>
    <row r="6" spans="2:7" ht="15.95" customHeight="1" x14ac:dyDescent="0.25">
      <c r="B6" s="305" t="s">
        <v>357</v>
      </c>
      <c r="C6" s="302">
        <v>4235</v>
      </c>
      <c r="D6" s="302">
        <v>4269</v>
      </c>
      <c r="E6" s="302">
        <f>E4*0.45</f>
        <v>4333.5</v>
      </c>
      <c r="F6" s="302">
        <f t="shared" ref="F6:G6" si="1">F4*0.45</f>
        <v>4398.75</v>
      </c>
      <c r="G6" s="302">
        <f t="shared" si="1"/>
        <v>4466.25</v>
      </c>
    </row>
    <row r="7" spans="2:7" ht="15.95" customHeight="1" x14ac:dyDescent="0.25">
      <c r="B7" s="305" t="s">
        <v>358</v>
      </c>
      <c r="C7" s="302">
        <v>1130</v>
      </c>
      <c r="D7" s="302">
        <v>1138</v>
      </c>
      <c r="E7" s="302">
        <f>E4*0.12</f>
        <v>1155.5999999999999</v>
      </c>
      <c r="F7" s="302">
        <f t="shared" ref="F7:G7" si="2">F4*0.12</f>
        <v>1173</v>
      </c>
      <c r="G7" s="302">
        <f t="shared" si="2"/>
        <v>1191</v>
      </c>
    </row>
    <row r="8" spans="2:7" ht="5.45" customHeight="1" x14ac:dyDescent="0.25">
      <c r="B8" s="305"/>
      <c r="C8" s="302"/>
      <c r="D8" s="302"/>
      <c r="E8" s="302"/>
      <c r="F8" s="302"/>
      <c r="G8" s="302"/>
    </row>
    <row r="9" spans="2:7" ht="15.95" customHeight="1" x14ac:dyDescent="0.25">
      <c r="B9" s="305" t="s">
        <v>310</v>
      </c>
      <c r="C9" s="302">
        <v>3600</v>
      </c>
      <c r="D9" s="302">
        <v>3700</v>
      </c>
      <c r="E9" s="302">
        <v>3800</v>
      </c>
      <c r="F9" s="302">
        <v>3900</v>
      </c>
      <c r="G9" s="302">
        <v>4000</v>
      </c>
    </row>
    <row r="11" spans="2:7" x14ac:dyDescent="0.25">
      <c r="B11" s="305" t="s">
        <v>365</v>
      </c>
      <c r="C11" s="302">
        <v>495</v>
      </c>
      <c r="D11" s="303">
        <f>C11*1.0074</f>
        <v>498.66300000000001</v>
      </c>
      <c r="E11" s="303">
        <f>D11*1.0152</f>
        <v>506.24267760000004</v>
      </c>
      <c r="F11" s="303">
        <f>E11*1.0151</f>
        <v>513.88694203175999</v>
      </c>
      <c r="G11" s="303">
        <f>F11*1.0153</f>
        <v>521.74941224484598</v>
      </c>
    </row>
    <row r="12" spans="2:7" x14ac:dyDescent="0.25">
      <c r="B12" s="301"/>
      <c r="C12" s="302"/>
      <c r="D12" s="306">
        <f>(D4-C4)/C4</f>
        <v>7.434154630416313E-3</v>
      </c>
      <c r="E12" s="306">
        <f t="shared" ref="E12:G12" si="3">(E4-D4)/D4</f>
        <v>1.5180265654648957E-2</v>
      </c>
      <c r="F12" s="306">
        <f t="shared" si="3"/>
        <v>1.5057113187954309E-2</v>
      </c>
      <c r="G12" s="306">
        <f t="shared" si="3"/>
        <v>1.5345268542199489E-2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Forecast</vt:lpstr>
      <vt:lpstr>FY26</vt:lpstr>
      <vt:lpstr>FY27</vt:lpstr>
      <vt:lpstr>FY28</vt:lpstr>
      <vt:lpstr>FY29</vt:lpstr>
      <vt:lpstr>FY30</vt:lpstr>
      <vt:lpstr>Compare</vt:lpstr>
      <vt:lpstr>Updated Clayton</vt:lpstr>
      <vt:lpstr>Funding</vt:lpstr>
      <vt:lpstr>Allocation</vt:lpstr>
      <vt:lpstr>FFE</vt:lpstr>
      <vt:lpstr>Ins</vt:lpstr>
      <vt:lpstr>Bond Pymt</vt:lpstr>
      <vt:lpstr>MADS</vt:lpstr>
      <vt:lpstr>Sloan Rent</vt:lpstr>
      <vt:lpstr>Springs Rent</vt:lpstr>
      <vt:lpstr>Clayton Info</vt:lpstr>
      <vt:lpstr>Sheet1</vt:lpstr>
      <vt:lpstr>Compare!Print_Area</vt:lpstr>
      <vt:lpstr>'FY26'!Print_Area</vt:lpstr>
      <vt:lpstr>Compare!Print_Titles</vt:lpstr>
      <vt:lpstr>'FY26'!Print_Titles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Goodsell</dc:creator>
  <cp:lastModifiedBy>Paul Ballou</cp:lastModifiedBy>
  <cp:lastPrinted>2026-01-13T21:14:35Z</cp:lastPrinted>
  <dcterms:created xsi:type="dcterms:W3CDTF">2025-08-20T15:31:08Z</dcterms:created>
  <dcterms:modified xsi:type="dcterms:W3CDTF">2026-01-13T21:17:38Z</dcterms:modified>
</cp:coreProperties>
</file>